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bdawp-my.sharepoint.com/personal/florian_entleitner_lambda-wp_at/Documents/Berechnungen/"/>
    </mc:Choice>
  </mc:AlternateContent>
  <xr:revisionPtr revIDLastSave="115" documentId="13_ncr:1_{FF70617C-6A11-46A0-995C-3AFB56748BF0}" xr6:coauthVersionLast="47" xr6:coauthVersionMax="47" xr10:uidLastSave="{5D1165BA-67FA-4402-9D72-98D878A74C59}"/>
  <workbookProtection workbookAlgorithmName="SHA-512" workbookHashValue="wjrxE/ZJfNWL0cWhC7jdSPguHI+JvGXP6sua2FPKsKlsQfbrgvtrGhYENHdX0+oduOAqw+lschM0cRgO+v/l4w==" workbookSaltValue="0oLve0qze89md+vlZl2r3A==" workbookSpinCount="100000" lockStructure="1"/>
  <bookViews>
    <workbookView xWindow="0" yWindow="1395" windowWidth="15915" windowHeight="11385" xr2:uid="{54BE76E4-DD6F-47C5-9D0E-277448C4FCE8}"/>
  </bookViews>
  <sheets>
    <sheet name="Planungstool Heizlast" sheetId="1" r:id="rId1"/>
    <sheet name="Leistungsdaten" sheetId="2" state="hidden" r:id="rId2"/>
    <sheet name="Temperaturstunden profile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4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" i="2"/>
  <c r="V46" i="4" l="1"/>
  <c r="V45" i="4"/>
  <c r="V44" i="4"/>
  <c r="A2" i="4"/>
  <c r="G2" i="4" s="1"/>
  <c r="A3" i="4"/>
  <c r="G3" i="4" s="1"/>
  <c r="A4" i="4"/>
  <c r="F4" i="4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F3" i="4"/>
  <c r="L4" i="4"/>
  <c r="E49" i="4"/>
  <c r="F49" i="4"/>
  <c r="H4" i="4" l="1"/>
  <c r="F2" i="4"/>
  <c r="H2" i="4"/>
  <c r="F226" i="2" l="1"/>
  <c r="F228" i="2"/>
  <c r="F220" i="2"/>
  <c r="F218" i="2"/>
  <c r="B229" i="2"/>
  <c r="C229" i="2"/>
  <c r="F229" i="2" s="1"/>
  <c r="D229" i="2"/>
  <c r="C227" i="2"/>
  <c r="D227" i="2"/>
  <c r="B227" i="2"/>
  <c r="C221" i="2"/>
  <c r="D221" i="2"/>
  <c r="B221" i="2"/>
  <c r="D219" i="2"/>
  <c r="C219" i="2"/>
  <c r="B219" i="2"/>
  <c r="F219" i="2" l="1"/>
  <c r="B233" i="2" s="1"/>
  <c r="F221" i="2"/>
  <c r="F227" i="2"/>
  <c r="B234" i="2" s="1"/>
  <c r="B53" i="1" s="1"/>
  <c r="C50" i="4"/>
  <c r="C51" i="4" s="1"/>
  <c r="J46" i="4"/>
  <c r="J45" i="4"/>
  <c r="J44" i="4"/>
  <c r="C7" i="1"/>
  <c r="A7" i="1"/>
  <c r="F5" i="4"/>
  <c r="G10" i="4"/>
  <c r="F13" i="4"/>
  <c r="G16" i="4"/>
  <c r="F17" i="4"/>
  <c r="F18" i="4"/>
  <c r="H20" i="4"/>
  <c r="G25" i="4"/>
  <c r="G26" i="4"/>
  <c r="F28" i="4"/>
  <c r="F29" i="4"/>
  <c r="F32" i="4"/>
  <c r="F33" i="4"/>
  <c r="F34" i="4"/>
  <c r="F37" i="4"/>
  <c r="G38" i="4"/>
  <c r="E40" i="4"/>
  <c r="H28" i="4" s="1"/>
  <c r="D40" i="4"/>
  <c r="M2" i="4" s="1"/>
  <c r="C40" i="4"/>
  <c r="F23" i="4" s="1"/>
  <c r="H37" i="4"/>
  <c r="G36" i="4"/>
  <c r="F36" i="4"/>
  <c r="G35" i="4"/>
  <c r="G33" i="4"/>
  <c r="G32" i="4"/>
  <c r="G29" i="4"/>
  <c r="G28" i="4"/>
  <c r="F27" i="4"/>
  <c r="G27" i="4"/>
  <c r="F25" i="4"/>
  <c r="G24" i="4"/>
  <c r="F24" i="4"/>
  <c r="G23" i="4"/>
  <c r="F21" i="4"/>
  <c r="G21" i="4"/>
  <c r="G20" i="4"/>
  <c r="F20" i="4"/>
  <c r="F19" i="4"/>
  <c r="G19" i="4"/>
  <c r="G17" i="4"/>
  <c r="H16" i="4"/>
  <c r="F16" i="4"/>
  <c r="F15" i="4"/>
  <c r="G15" i="4"/>
  <c r="G12" i="4"/>
  <c r="F12" i="4"/>
  <c r="G11" i="4"/>
  <c r="F9" i="4"/>
  <c r="G9" i="4"/>
  <c r="G8" i="4"/>
  <c r="F8" i="4"/>
  <c r="F7" i="4"/>
  <c r="G7" i="4"/>
  <c r="G5" i="4"/>
  <c r="G4" i="4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L2" i="4"/>
  <c r="L3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H30" i="4" l="1"/>
  <c r="H22" i="4"/>
  <c r="H14" i="4"/>
  <c r="H6" i="4"/>
  <c r="F26" i="4"/>
  <c r="H39" i="4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G13" i="4"/>
  <c r="H24" i="4"/>
  <c r="H36" i="4"/>
  <c r="H8" i="4"/>
  <c r="F11" i="4"/>
  <c r="F35" i="4"/>
  <c r="F31" i="4"/>
  <c r="H12" i="4"/>
  <c r="G31" i="4"/>
  <c r="H32" i="4"/>
  <c r="G37" i="4"/>
  <c r="F10" i="4"/>
  <c r="G18" i="4"/>
  <c r="G34" i="4"/>
  <c r="F6" i="4"/>
  <c r="H10" i="4"/>
  <c r="F14" i="4"/>
  <c r="H18" i="4"/>
  <c r="F22" i="4"/>
  <c r="H26" i="4"/>
  <c r="F30" i="4"/>
  <c r="H34" i="4"/>
  <c r="G6" i="4"/>
  <c r="G14" i="4"/>
  <c r="G22" i="4"/>
  <c r="G30" i="4"/>
  <c r="F38" i="4"/>
  <c r="H38" i="4"/>
  <c r="H3" i="4"/>
  <c r="H5" i="4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G39" i="4"/>
  <c r="F39" i="4"/>
  <c r="F40" i="4" l="1"/>
  <c r="H40" i="4"/>
  <c r="G40" i="4"/>
  <c r="I2" i="4" l="1"/>
  <c r="J2" i="4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I3" i="4" l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B18" i="1" l="1"/>
  <c r="B55" i="1" l="1"/>
  <c r="B19" i="1"/>
  <c r="B21" i="1" s="1"/>
  <c r="B58" i="1" l="1"/>
  <c r="C47" i="4"/>
  <c r="C48" i="4" s="1"/>
  <c r="O9" i="4" s="1"/>
  <c r="G196" i="2"/>
  <c r="C207" i="2"/>
  <c r="G208" i="2"/>
  <c r="G204" i="2"/>
  <c r="G205" i="2"/>
  <c r="G202" i="2"/>
  <c r="C193" i="2"/>
  <c r="C204" i="2"/>
  <c r="K204" i="2" s="1"/>
  <c r="L204" i="2" s="1"/>
  <c r="G214" i="2"/>
  <c r="C194" i="2"/>
  <c r="G200" i="2"/>
  <c r="G206" i="2"/>
  <c r="G212" i="2"/>
  <c r="G213" i="2"/>
  <c r="C199" i="2"/>
  <c r="C201" i="2"/>
  <c r="G195" i="2"/>
  <c r="C203" i="2"/>
  <c r="C208" i="2"/>
  <c r="C210" i="2"/>
  <c r="C197" i="2"/>
  <c r="C200" i="2"/>
  <c r="G197" i="2"/>
  <c r="C209" i="2"/>
  <c r="G203" i="2"/>
  <c r="G201" i="2"/>
  <c r="C195" i="2"/>
  <c r="K195" i="2" s="1"/>
  <c r="L195" i="2" s="1"/>
  <c r="G193" i="2"/>
  <c r="C205" i="2"/>
  <c r="G199" i="2"/>
  <c r="C192" i="2"/>
  <c r="G198" i="2"/>
  <c r="G211" i="2"/>
  <c r="C196" i="2"/>
  <c r="G207" i="2"/>
  <c r="K207" i="2" s="1"/>
  <c r="L207" i="2" s="1"/>
  <c r="C212" i="2"/>
  <c r="K212" i="2" s="1"/>
  <c r="L212" i="2" s="1"/>
  <c r="G209" i="2"/>
  <c r="C213" i="2"/>
  <c r="K213" i="2" s="1"/>
  <c r="L213" i="2" s="1"/>
  <c r="G194" i="2"/>
  <c r="K194" i="2" s="1"/>
  <c r="L194" i="2" s="1"/>
  <c r="C198" i="2"/>
  <c r="G192" i="2"/>
  <c r="K192" i="2" s="1"/>
  <c r="L192" i="2" s="1"/>
  <c r="C211" i="2"/>
  <c r="C202" i="2"/>
  <c r="G210" i="2"/>
  <c r="C206" i="2"/>
  <c r="C214" i="2"/>
  <c r="B54" i="1"/>
  <c r="O26" i="4"/>
  <c r="R26" i="4" s="1"/>
  <c r="O34" i="4"/>
  <c r="R34" i="4" s="1"/>
  <c r="P20" i="4"/>
  <c r="S20" i="4" s="1"/>
  <c r="P28" i="4"/>
  <c r="S28" i="4" s="1"/>
  <c r="Q9" i="4"/>
  <c r="T9" i="4" s="1"/>
  <c r="Q21" i="4"/>
  <c r="T21" i="4" s="1"/>
  <c r="Q25" i="4"/>
  <c r="T25" i="4" s="1"/>
  <c r="O2" i="4"/>
  <c r="O27" i="4"/>
  <c r="R27" i="4" s="1"/>
  <c r="O35" i="4"/>
  <c r="R35" i="4" s="1"/>
  <c r="P29" i="4"/>
  <c r="S29" i="4" s="1"/>
  <c r="O11" i="4"/>
  <c r="O19" i="4"/>
  <c r="P13" i="4"/>
  <c r="P38" i="4"/>
  <c r="S38" i="4" s="1"/>
  <c r="Q6" i="4"/>
  <c r="T6" i="4" s="1"/>
  <c r="Q22" i="4"/>
  <c r="T22" i="4" s="1"/>
  <c r="Q34" i="4"/>
  <c r="T34" i="4" s="1"/>
  <c r="Q38" i="4"/>
  <c r="T38" i="4" s="1"/>
  <c r="O29" i="4"/>
  <c r="R29" i="4" s="1"/>
  <c r="P15" i="4"/>
  <c r="S15" i="4" s="1"/>
  <c r="P23" i="4"/>
  <c r="S23" i="4" s="1"/>
  <c r="O13" i="4"/>
  <c r="O38" i="4"/>
  <c r="R38" i="4" s="1"/>
  <c r="P7" i="4"/>
  <c r="Q3" i="4"/>
  <c r="T3" i="4" s="1"/>
  <c r="Q15" i="4"/>
  <c r="T15" i="4" s="1"/>
  <c r="Q19" i="4"/>
  <c r="T19" i="4" s="1"/>
  <c r="Q35" i="4"/>
  <c r="T35" i="4" s="1"/>
  <c r="O14" i="4"/>
  <c r="O22" i="4"/>
  <c r="P17" i="4"/>
  <c r="S17" i="4" s="1"/>
  <c r="P14" i="4"/>
  <c r="S14" i="4" s="1"/>
  <c r="O7" i="4"/>
  <c r="P9" i="4"/>
  <c r="P34" i="4"/>
  <c r="S34" i="4" s="1"/>
  <c r="Q4" i="4"/>
  <c r="T4" i="4" s="1"/>
  <c r="Q20" i="4"/>
  <c r="T20" i="4" s="1"/>
  <c r="Q32" i="4"/>
  <c r="T32" i="4" s="1"/>
  <c r="Q36" i="4"/>
  <c r="T36" i="4" s="1"/>
  <c r="O33" i="4"/>
  <c r="R33" i="4" s="1"/>
  <c r="P19" i="4"/>
  <c r="S19" i="4" s="1"/>
  <c r="P27" i="4"/>
  <c r="S27" i="4" s="1"/>
  <c r="K211" i="2" l="1"/>
  <c r="L211" i="2" s="1"/>
  <c r="K203" i="2"/>
  <c r="L203" i="2" s="1"/>
  <c r="K202" i="2"/>
  <c r="L202" i="2" s="1"/>
  <c r="K199" i="2"/>
  <c r="L199" i="2" s="1"/>
  <c r="K193" i="2"/>
  <c r="L193" i="2" s="1"/>
  <c r="K209" i="2"/>
  <c r="L209" i="2" s="1"/>
  <c r="K201" i="2"/>
  <c r="L201" i="2" s="1"/>
  <c r="K205" i="2"/>
  <c r="L205" i="2" s="1"/>
  <c r="K206" i="2"/>
  <c r="L206" i="2" s="1"/>
  <c r="K200" i="2"/>
  <c r="L200" i="2" s="1"/>
  <c r="K208" i="2"/>
  <c r="L208" i="2" s="1"/>
  <c r="K214" i="2"/>
  <c r="L214" i="2" s="1"/>
  <c r="K196" i="2"/>
  <c r="L196" i="2" s="1"/>
  <c r="K198" i="2"/>
  <c r="L198" i="2" s="1"/>
  <c r="K197" i="2"/>
  <c r="L197" i="2" s="1"/>
  <c r="P10" i="4"/>
  <c r="Q28" i="4"/>
  <c r="T28" i="4" s="1"/>
  <c r="P26" i="4"/>
  <c r="S26" i="4" s="1"/>
  <c r="P33" i="4"/>
  <c r="S33" i="4" s="1"/>
  <c r="O6" i="4"/>
  <c r="Q11" i="4"/>
  <c r="T11" i="4" s="1"/>
  <c r="O30" i="4"/>
  <c r="R30" i="4" s="1"/>
  <c r="P6" i="4"/>
  <c r="Q30" i="4"/>
  <c r="T30" i="4" s="1"/>
  <c r="P30" i="4"/>
  <c r="S30" i="4" s="1"/>
  <c r="O3" i="4"/>
  <c r="O18" i="4"/>
  <c r="Q17" i="4"/>
  <c r="T17" i="4" s="1"/>
  <c r="P11" i="4"/>
  <c r="P2" i="4"/>
  <c r="Q24" i="4"/>
  <c r="T24" i="4" s="1"/>
  <c r="P18" i="4"/>
  <c r="S18" i="4" s="1"/>
  <c r="P25" i="4"/>
  <c r="S25" i="4" s="1"/>
  <c r="Q39" i="4"/>
  <c r="T39" i="4" s="1"/>
  <c r="Q7" i="4"/>
  <c r="T7" i="4" s="1"/>
  <c r="O21" i="4"/>
  <c r="O37" i="4"/>
  <c r="R37" i="4" s="1"/>
  <c r="Q26" i="4"/>
  <c r="T26" i="4" s="1"/>
  <c r="P22" i="4"/>
  <c r="S22" i="4" s="1"/>
  <c r="P37" i="4"/>
  <c r="S37" i="4" s="1"/>
  <c r="O10" i="4"/>
  <c r="Q13" i="4"/>
  <c r="T13" i="4" s="1"/>
  <c r="P3" i="4"/>
  <c r="K210" i="2"/>
  <c r="L210" i="2" s="1"/>
  <c r="O24" i="4"/>
  <c r="O32" i="4"/>
  <c r="R32" i="4" s="1"/>
  <c r="Q31" i="4"/>
  <c r="T31" i="4" s="1"/>
  <c r="O5" i="4"/>
  <c r="Q18" i="4"/>
  <c r="T18" i="4" s="1"/>
  <c r="P21" i="4"/>
  <c r="S21" i="4" s="1"/>
  <c r="Q5" i="4"/>
  <c r="T5" i="4" s="1"/>
  <c r="O16" i="4"/>
  <c r="Q12" i="4"/>
  <c r="T12" i="4" s="1"/>
  <c r="O23" i="4"/>
  <c r="O39" i="4"/>
  <c r="R39" i="4" s="1"/>
  <c r="Q27" i="4"/>
  <c r="T27" i="4" s="1"/>
  <c r="P24" i="4"/>
  <c r="S24" i="4" s="1"/>
  <c r="P39" i="4"/>
  <c r="S39" i="4" s="1"/>
  <c r="O12" i="4"/>
  <c r="Q14" i="4"/>
  <c r="T14" i="4" s="1"/>
  <c r="O36" i="4"/>
  <c r="R36" i="4" s="1"/>
  <c r="P12" i="4"/>
  <c r="Q33" i="4"/>
  <c r="T33" i="4" s="1"/>
  <c r="Q2" i="4"/>
  <c r="O17" i="4"/>
  <c r="Q16" i="4"/>
  <c r="T16" i="4" s="1"/>
  <c r="P8" i="4"/>
  <c r="P32" i="4"/>
  <c r="S32" i="4" s="1"/>
  <c r="O20" i="4"/>
  <c r="P5" i="4"/>
  <c r="Q37" i="4"/>
  <c r="T37" i="4" s="1"/>
  <c r="O25" i="4"/>
  <c r="P35" i="4"/>
  <c r="S35" i="4" s="1"/>
  <c r="O8" i="4"/>
  <c r="Q8" i="4"/>
  <c r="T8" i="4" s="1"/>
  <c r="O15" i="4"/>
  <c r="O31" i="4"/>
  <c r="R31" i="4" s="1"/>
  <c r="R40" i="4" s="1"/>
  <c r="Q23" i="4"/>
  <c r="T23" i="4" s="1"/>
  <c r="P16" i="4"/>
  <c r="S16" i="4" s="1"/>
  <c r="P31" i="4"/>
  <c r="S31" i="4" s="1"/>
  <c r="O4" i="4"/>
  <c r="Q10" i="4"/>
  <c r="T10" i="4" s="1"/>
  <c r="O28" i="4"/>
  <c r="R28" i="4" s="1"/>
  <c r="P4" i="4"/>
  <c r="Q29" i="4"/>
  <c r="T29" i="4" s="1"/>
  <c r="P36" i="4"/>
  <c r="S36" i="4" s="1"/>
  <c r="B61" i="4"/>
  <c r="B62" i="4"/>
  <c r="B63" i="4"/>
  <c r="K45" i="4"/>
  <c r="K46" i="4"/>
  <c r="S40" i="4" l="1"/>
  <c r="Q40" i="4"/>
  <c r="O40" i="4"/>
  <c r="P40" i="4"/>
  <c r="T2" i="4"/>
  <c r="K44" i="4" s="1"/>
  <c r="J50" i="4" s="1"/>
  <c r="J51" i="4"/>
  <c r="K51" i="4" s="1"/>
  <c r="T40" i="4"/>
  <c r="K50" i="4" l="1"/>
  <c r="C53" i="4" s="1"/>
  <c r="C54" i="4" s="1"/>
  <c r="B17" i="1" s="1"/>
  <c r="B20" i="1" l="1"/>
  <c r="G175" i="2"/>
  <c r="G186" i="2"/>
  <c r="G188" i="2"/>
  <c r="G173" i="2"/>
  <c r="G184" i="2"/>
  <c r="G171" i="2"/>
  <c r="G182" i="2"/>
  <c r="G191" i="2"/>
  <c r="G178" i="2"/>
  <c r="G180" i="2"/>
  <c r="G189" i="2"/>
  <c r="G176" i="2"/>
  <c r="G185" i="2"/>
  <c r="G187" i="2"/>
  <c r="G174" i="2"/>
  <c r="G183" i="2"/>
  <c r="G170" i="2"/>
  <c r="G172" i="2"/>
  <c r="G181" i="2"/>
  <c r="G177" i="2"/>
  <c r="G179" i="2"/>
  <c r="G190" i="2"/>
  <c r="B22" i="1" l="1"/>
  <c r="X3" i="4" s="1"/>
  <c r="C187" i="2"/>
  <c r="C188" i="2"/>
  <c r="G66" i="2"/>
  <c r="G131" i="2"/>
  <c r="C137" i="2"/>
  <c r="K137" i="2" s="1"/>
  <c r="L137" i="2" s="1"/>
  <c r="G94" i="2"/>
  <c r="G162" i="2"/>
  <c r="C138" i="2"/>
  <c r="G101" i="2"/>
  <c r="G67" i="2"/>
  <c r="G130" i="2"/>
  <c r="C123" i="2"/>
  <c r="G108" i="2"/>
  <c r="G165" i="2"/>
  <c r="C100" i="2"/>
  <c r="K100" i="2" s="1"/>
  <c r="L100" i="2" s="1"/>
  <c r="C164" i="2"/>
  <c r="G93" i="2"/>
  <c r="C117" i="2"/>
  <c r="G89" i="2"/>
  <c r="G159" i="2"/>
  <c r="C94" i="2"/>
  <c r="C158" i="2"/>
  <c r="C121" i="2"/>
  <c r="G91" i="2"/>
  <c r="G146" i="2"/>
  <c r="C71" i="2"/>
  <c r="C135" i="2"/>
  <c r="C136" i="2"/>
  <c r="C143" i="2"/>
  <c r="C175" i="2"/>
  <c r="K175" i="2" s="1"/>
  <c r="L175" i="2" s="1"/>
  <c r="C155" i="2"/>
  <c r="G76" i="2"/>
  <c r="G158" i="2"/>
  <c r="C68" i="2"/>
  <c r="C165" i="2"/>
  <c r="C163" i="2"/>
  <c r="C167" i="2"/>
  <c r="G161" i="2"/>
  <c r="C142" i="2"/>
  <c r="G127" i="2"/>
  <c r="C106" i="2"/>
  <c r="G123" i="2"/>
  <c r="C156" i="2"/>
  <c r="G150" i="2"/>
  <c r="G139" i="2"/>
  <c r="C173" i="2"/>
  <c r="K173" i="2" s="1"/>
  <c r="L173" i="2" s="1"/>
  <c r="C181" i="2"/>
  <c r="K181" i="2" s="1"/>
  <c r="L181" i="2" s="1"/>
  <c r="G68" i="2"/>
  <c r="G133" i="2"/>
  <c r="C64" i="2"/>
  <c r="C169" i="2"/>
  <c r="G103" i="2"/>
  <c r="G164" i="2"/>
  <c r="K164" i="2" s="1"/>
  <c r="L164" i="2" s="1"/>
  <c r="C139" i="2"/>
  <c r="G112" i="2"/>
  <c r="G69" i="2"/>
  <c r="G132" i="2"/>
  <c r="C67" i="2"/>
  <c r="K67" i="2" s="1"/>
  <c r="C147" i="2"/>
  <c r="G117" i="2"/>
  <c r="K117" i="2" s="1"/>
  <c r="L117" i="2" s="1"/>
  <c r="C108" i="2"/>
  <c r="K108" i="2" s="1"/>
  <c r="L108" i="2" s="1"/>
  <c r="C109" i="2"/>
  <c r="G104" i="2"/>
  <c r="C125" i="2"/>
  <c r="G102" i="2"/>
  <c r="C102" i="2"/>
  <c r="C166" i="2"/>
  <c r="C145" i="2"/>
  <c r="G98" i="2"/>
  <c r="G148" i="2"/>
  <c r="C79" i="2"/>
  <c r="C160" i="2"/>
  <c r="G96" i="2"/>
  <c r="G97" i="2"/>
  <c r="G143" i="2"/>
  <c r="G141" i="2"/>
  <c r="C62" i="2"/>
  <c r="G119" i="2"/>
  <c r="G77" i="2"/>
  <c r="C78" i="2"/>
  <c r="C119" i="2"/>
  <c r="C186" i="2"/>
  <c r="G169" i="2"/>
  <c r="G106" i="2"/>
  <c r="K106" i="2" s="1"/>
  <c r="L106" i="2" s="1"/>
  <c r="G163" i="2"/>
  <c r="C150" i="2"/>
  <c r="C112" i="2"/>
  <c r="K112" i="2" s="1"/>
  <c r="L112" i="2" s="1"/>
  <c r="C178" i="2"/>
  <c r="C189" i="2"/>
  <c r="C174" i="2"/>
  <c r="G73" i="2"/>
  <c r="G144" i="2"/>
  <c r="C88" i="2"/>
  <c r="C90" i="2"/>
  <c r="G107" i="2"/>
  <c r="G62" i="2"/>
  <c r="G121" i="2"/>
  <c r="G83" i="2"/>
  <c r="G136" i="2"/>
  <c r="C75" i="2"/>
  <c r="G65" i="2"/>
  <c r="G128" i="2"/>
  <c r="C116" i="2"/>
  <c r="C141" i="2"/>
  <c r="G113" i="2"/>
  <c r="C61" i="2"/>
  <c r="C133" i="2"/>
  <c r="G111" i="2"/>
  <c r="C110" i="2"/>
  <c r="C80" i="2"/>
  <c r="K80" i="2" s="1"/>
  <c r="L80" i="2" s="1"/>
  <c r="C114" i="2"/>
  <c r="G100" i="2"/>
  <c r="G157" i="2"/>
  <c r="C87" i="2"/>
  <c r="C151" i="2"/>
  <c r="C89" i="2"/>
  <c r="K89" i="2" s="1"/>
  <c r="L89" i="2" s="1"/>
  <c r="C183" i="2"/>
  <c r="K183" i="2" s="1"/>
  <c r="L183" i="2" s="1"/>
  <c r="C128" i="2"/>
  <c r="G116" i="2"/>
  <c r="G140" i="2"/>
  <c r="C91" i="2"/>
  <c r="K91" i="2" s="1"/>
  <c r="L91" i="2" s="1"/>
  <c r="C132" i="2"/>
  <c r="C77" i="2"/>
  <c r="C126" i="2"/>
  <c r="G120" i="2"/>
  <c r="C161" i="2"/>
  <c r="C107" i="2"/>
  <c r="K107" i="2" s="1"/>
  <c r="L107" i="2" s="1"/>
  <c r="C84" i="2"/>
  <c r="G82" i="2"/>
  <c r="G75" i="2"/>
  <c r="C130" i="2"/>
  <c r="K130" i="2" s="1"/>
  <c r="G151" i="2"/>
  <c r="C146" i="2"/>
  <c r="G156" i="2"/>
  <c r="C101" i="2"/>
  <c r="G80" i="2"/>
  <c r="C131" i="2"/>
  <c r="C170" i="2"/>
  <c r="C190" i="2"/>
  <c r="C182" i="2"/>
  <c r="K182" i="2" s="1"/>
  <c r="L182" i="2" s="1"/>
  <c r="G87" i="2"/>
  <c r="G153" i="2"/>
  <c r="C104" i="2"/>
  <c r="C154" i="2"/>
  <c r="G114" i="2"/>
  <c r="G71" i="2"/>
  <c r="G138" i="2"/>
  <c r="C66" i="2"/>
  <c r="K66" i="2" s="1"/>
  <c r="L66" i="2" s="1"/>
  <c r="G88" i="2"/>
  <c r="K88" i="2" s="1"/>
  <c r="L88" i="2" s="1"/>
  <c r="G145" i="2"/>
  <c r="C83" i="2"/>
  <c r="G74" i="2"/>
  <c r="G134" i="2"/>
  <c r="C124" i="2"/>
  <c r="C157" i="2"/>
  <c r="G126" i="2"/>
  <c r="C69" i="2"/>
  <c r="K69" i="2" s="1"/>
  <c r="L69" i="2" s="1"/>
  <c r="C149" i="2"/>
  <c r="G115" i="2"/>
  <c r="C118" i="2"/>
  <c r="C120" i="2"/>
  <c r="C162" i="2"/>
  <c r="G109" i="2"/>
  <c r="G168" i="2"/>
  <c r="C95" i="2"/>
  <c r="C159" i="2"/>
  <c r="C129" i="2"/>
  <c r="C177" i="2"/>
  <c r="G155" i="2"/>
  <c r="C81" i="2"/>
  <c r="C74" i="2"/>
  <c r="G79" i="2"/>
  <c r="G63" i="2"/>
  <c r="G122" i="2"/>
  <c r="C144" i="2"/>
  <c r="C103" i="2"/>
  <c r="G160" i="2"/>
  <c r="C148" i="2"/>
  <c r="G137" i="2"/>
  <c r="G135" i="2"/>
  <c r="K135" i="2" s="1"/>
  <c r="L135" i="2" s="1"/>
  <c r="C179" i="2"/>
  <c r="K179" i="2" s="1"/>
  <c r="L179" i="2" s="1"/>
  <c r="C105" i="2"/>
  <c r="G92" i="2"/>
  <c r="C115" i="2"/>
  <c r="C92" i="2"/>
  <c r="G84" i="2"/>
  <c r="C97" i="2"/>
  <c r="C127" i="2"/>
  <c r="K127" i="2" s="1"/>
  <c r="L127" i="2" s="1"/>
  <c r="C185" i="2"/>
  <c r="K185" i="2" s="1"/>
  <c r="L185" i="2" s="1"/>
  <c r="C176" i="2"/>
  <c r="K176" i="2" s="1"/>
  <c r="L176" i="2" s="1"/>
  <c r="C191" i="2"/>
  <c r="K191" i="2" s="1"/>
  <c r="L191" i="2" s="1"/>
  <c r="G105" i="2"/>
  <c r="G166" i="2"/>
  <c r="C152" i="2"/>
  <c r="G64" i="2"/>
  <c r="G125" i="2"/>
  <c r="C113" i="2"/>
  <c r="G81" i="2"/>
  <c r="K81" i="2" s="1"/>
  <c r="L81" i="2" s="1"/>
  <c r="G149" i="2"/>
  <c r="C98" i="2"/>
  <c r="G110" i="2"/>
  <c r="G167" i="2"/>
  <c r="C99" i="2"/>
  <c r="G95" i="2"/>
  <c r="G147" i="2"/>
  <c r="C76" i="2"/>
  <c r="C140" i="2"/>
  <c r="G72" i="2"/>
  <c r="G152" i="2"/>
  <c r="C85" i="2"/>
  <c r="G61" i="2"/>
  <c r="G124" i="2"/>
  <c r="K124" i="2" s="1"/>
  <c r="L124" i="2" s="1"/>
  <c r="C70" i="2"/>
  <c r="C134" i="2"/>
  <c r="C168" i="2"/>
  <c r="G70" i="2"/>
  <c r="G129" i="2"/>
  <c r="C111" i="2"/>
  <c r="C72" i="2"/>
  <c r="C82" i="2"/>
  <c r="C171" i="2"/>
  <c r="K171" i="2" s="1"/>
  <c r="L171" i="2" s="1"/>
  <c r="C172" i="2"/>
  <c r="K172" i="2" s="1"/>
  <c r="L172" i="2" s="1"/>
  <c r="C184" i="2"/>
  <c r="K184" i="2" s="1"/>
  <c r="L184" i="2" s="1"/>
  <c r="G118" i="2"/>
  <c r="K118" i="2" s="1"/>
  <c r="L118" i="2" s="1"/>
  <c r="C65" i="2"/>
  <c r="G78" i="2"/>
  <c r="G142" i="2"/>
  <c r="C153" i="2"/>
  <c r="G90" i="2"/>
  <c r="C122" i="2"/>
  <c r="K122" i="2" s="1"/>
  <c r="L122" i="2" s="1"/>
  <c r="G99" i="2"/>
  <c r="K99" i="2" s="1"/>
  <c r="L99" i="2" s="1"/>
  <c r="G154" i="2"/>
  <c r="K154" i="2" s="1"/>
  <c r="L154" i="2" s="1"/>
  <c r="C93" i="2"/>
  <c r="K93" i="2" s="1"/>
  <c r="L93" i="2" s="1"/>
  <c r="C73" i="2"/>
  <c r="K73" i="2" s="1"/>
  <c r="L73" i="2" s="1"/>
  <c r="C96" i="2"/>
  <c r="C180" i="2"/>
  <c r="K180" i="2" s="1"/>
  <c r="L180" i="2" s="1"/>
  <c r="G85" i="2"/>
  <c r="G86" i="2"/>
  <c r="C86" i="2"/>
  <c r="C63" i="2"/>
  <c r="K123" i="2"/>
  <c r="L123" i="2" s="1"/>
  <c r="K188" i="2"/>
  <c r="L188" i="2" s="1"/>
  <c r="K187" i="2"/>
  <c r="L187" i="2" s="1"/>
  <c r="K186" i="2"/>
  <c r="L186" i="2" s="1"/>
  <c r="K152" i="2"/>
  <c r="L152" i="2" s="1"/>
  <c r="K148" i="2"/>
  <c r="L148" i="2" s="1"/>
  <c r="K74" i="2"/>
  <c r="L74" i="2" s="1"/>
  <c r="K177" i="2"/>
  <c r="L177" i="2" s="1"/>
  <c r="K190" i="2"/>
  <c r="L190" i="2" s="1"/>
  <c r="K170" i="2"/>
  <c r="L170" i="2" s="1"/>
  <c r="K133" i="2"/>
  <c r="L133" i="2" s="1"/>
  <c r="K61" i="2"/>
  <c r="L61" i="2" s="1"/>
  <c r="K174" i="2"/>
  <c r="L174" i="2" s="1"/>
  <c r="K189" i="2"/>
  <c r="L189" i="2" s="1"/>
  <c r="K178" i="2"/>
  <c r="L178" i="2" s="1"/>
  <c r="L130" i="2"/>
  <c r="L67" i="2"/>
  <c r="C52" i="2"/>
  <c r="C53" i="2"/>
  <c r="C48" i="2"/>
  <c r="C57" i="2"/>
  <c r="C54" i="2"/>
  <c r="C59" i="2"/>
  <c r="C58" i="2"/>
  <c r="C56" i="2"/>
  <c r="C46" i="2"/>
  <c r="C51" i="2"/>
  <c r="C50" i="2"/>
  <c r="C49" i="2"/>
  <c r="C55" i="2"/>
  <c r="C47" i="2"/>
  <c r="G21" i="2"/>
  <c r="G46" i="2"/>
  <c r="G55" i="2"/>
  <c r="C16" i="2"/>
  <c r="C24" i="2"/>
  <c r="C32" i="2"/>
  <c r="C33" i="2"/>
  <c r="G30" i="2"/>
  <c r="G35" i="2"/>
  <c r="G42" i="2"/>
  <c r="G44" i="2"/>
  <c r="G53" i="2"/>
  <c r="C17" i="2"/>
  <c r="G26" i="2"/>
  <c r="G28" i="2"/>
  <c r="G33" i="2"/>
  <c r="G40" i="2"/>
  <c r="G49" i="2"/>
  <c r="C18" i="2"/>
  <c r="C26" i="2"/>
  <c r="C34" i="2"/>
  <c r="C42" i="2"/>
  <c r="G24" i="2"/>
  <c r="G38" i="2"/>
  <c r="G47" i="2"/>
  <c r="G51" i="2"/>
  <c r="G58" i="2"/>
  <c r="G60" i="2"/>
  <c r="C19" i="2"/>
  <c r="C27" i="2"/>
  <c r="C35" i="2"/>
  <c r="C43" i="2"/>
  <c r="G22" i="2"/>
  <c r="G31" i="2"/>
  <c r="G36" i="2"/>
  <c r="G45" i="2"/>
  <c r="G56" i="2"/>
  <c r="C20" i="2"/>
  <c r="C28" i="2"/>
  <c r="K28" i="2" s="1"/>
  <c r="C36" i="2"/>
  <c r="C44" i="2"/>
  <c r="G27" i="2"/>
  <c r="G29" i="2"/>
  <c r="G41" i="2"/>
  <c r="G54" i="2"/>
  <c r="G7" i="2"/>
  <c r="C21" i="2"/>
  <c r="C29" i="2"/>
  <c r="C37" i="2"/>
  <c r="C45" i="2"/>
  <c r="G25" i="2"/>
  <c r="G34" i="2"/>
  <c r="G39" i="2"/>
  <c r="G43" i="2"/>
  <c r="G50" i="2"/>
  <c r="G52" i="2"/>
  <c r="G59" i="2"/>
  <c r="C14" i="2"/>
  <c r="C22" i="2"/>
  <c r="C30" i="2"/>
  <c r="C38" i="2"/>
  <c r="C41" i="2"/>
  <c r="G23" i="2"/>
  <c r="G32" i="2"/>
  <c r="G37" i="2"/>
  <c r="G48" i="2"/>
  <c r="G57" i="2"/>
  <c r="C15" i="2"/>
  <c r="C23" i="2"/>
  <c r="C31" i="2"/>
  <c r="C39" i="2"/>
  <c r="C40" i="2"/>
  <c r="C25" i="2"/>
  <c r="G5" i="2"/>
  <c r="G13" i="2"/>
  <c r="G8" i="2"/>
  <c r="G17" i="2"/>
  <c r="G3" i="2"/>
  <c r="G11" i="2"/>
  <c r="G20" i="2"/>
  <c r="G6" i="2"/>
  <c r="G15" i="2"/>
  <c r="G14" i="2"/>
  <c r="G9" i="2"/>
  <c r="G18" i="2"/>
  <c r="G4" i="2"/>
  <c r="G12" i="2"/>
  <c r="G16" i="2"/>
  <c r="G2" i="2"/>
  <c r="G10" i="2"/>
  <c r="G19" i="2"/>
  <c r="W6" i="4"/>
  <c r="W14" i="4"/>
  <c r="W22" i="4"/>
  <c r="W30" i="4"/>
  <c r="W38" i="4"/>
  <c r="X6" i="4"/>
  <c r="X14" i="4"/>
  <c r="X22" i="4"/>
  <c r="X30" i="4"/>
  <c r="X38" i="4"/>
  <c r="V2" i="4"/>
  <c r="V10" i="4"/>
  <c r="V18" i="4"/>
  <c r="V26" i="4"/>
  <c r="V34" i="4"/>
  <c r="C8" i="2"/>
  <c r="C6" i="2"/>
  <c r="W7" i="4"/>
  <c r="W15" i="4"/>
  <c r="W23" i="4"/>
  <c r="W31" i="4"/>
  <c r="W39" i="4"/>
  <c r="X7" i="4"/>
  <c r="X15" i="4"/>
  <c r="X23" i="4"/>
  <c r="X31" i="4"/>
  <c r="X39" i="4"/>
  <c r="V3" i="4"/>
  <c r="V11" i="4"/>
  <c r="V19" i="4"/>
  <c r="V27" i="4"/>
  <c r="V35" i="4"/>
  <c r="C7" i="2"/>
  <c r="W8" i="4"/>
  <c r="W16" i="4"/>
  <c r="W24" i="4"/>
  <c r="W32" i="4"/>
  <c r="X8" i="4"/>
  <c r="X16" i="4"/>
  <c r="X24" i="4"/>
  <c r="X32" i="4"/>
  <c r="V4" i="4"/>
  <c r="V12" i="4"/>
  <c r="V20" i="4"/>
  <c r="V28" i="4"/>
  <c r="V36" i="4"/>
  <c r="C11" i="2"/>
  <c r="W9" i="4"/>
  <c r="W17" i="4"/>
  <c r="W25" i="4"/>
  <c r="W33" i="4"/>
  <c r="X9" i="4"/>
  <c r="X17" i="4"/>
  <c r="X25" i="4"/>
  <c r="X33" i="4"/>
  <c r="V5" i="4"/>
  <c r="V13" i="4"/>
  <c r="V21" i="4"/>
  <c r="V29" i="4"/>
  <c r="V37" i="4"/>
  <c r="C2" i="2"/>
  <c r="W2" i="4"/>
  <c r="W10" i="4"/>
  <c r="W18" i="4"/>
  <c r="W26" i="4"/>
  <c r="W34" i="4"/>
  <c r="X2" i="4"/>
  <c r="X10" i="4"/>
  <c r="X18" i="4"/>
  <c r="X26" i="4"/>
  <c r="X34" i="4"/>
  <c r="V6" i="4"/>
  <c r="V14" i="4"/>
  <c r="V22" i="4"/>
  <c r="V30" i="4"/>
  <c r="V38" i="4"/>
  <c r="C9" i="2"/>
  <c r="C3" i="2"/>
  <c r="C4" i="2"/>
  <c r="C10" i="2"/>
  <c r="W3" i="4"/>
  <c r="W11" i="4"/>
  <c r="W19" i="4"/>
  <c r="W27" i="4"/>
  <c r="W35" i="4"/>
  <c r="X11" i="4"/>
  <c r="X19" i="4"/>
  <c r="X27" i="4"/>
  <c r="X35" i="4"/>
  <c r="V7" i="4"/>
  <c r="V15" i="4"/>
  <c r="V23" i="4"/>
  <c r="V31" i="4"/>
  <c r="V39" i="4"/>
  <c r="C5" i="2"/>
  <c r="K5" i="2" s="1"/>
  <c r="W4" i="4"/>
  <c r="W12" i="4"/>
  <c r="W20" i="4"/>
  <c r="W28" i="4"/>
  <c r="W36" i="4"/>
  <c r="X4" i="4"/>
  <c r="X12" i="4"/>
  <c r="X20" i="4"/>
  <c r="X28" i="4"/>
  <c r="X36" i="4"/>
  <c r="V8" i="4"/>
  <c r="V16" i="4"/>
  <c r="V24" i="4"/>
  <c r="V32" i="4"/>
  <c r="C13" i="2"/>
  <c r="W5" i="4"/>
  <c r="W13" i="4"/>
  <c r="W21" i="4"/>
  <c r="W29" i="4"/>
  <c r="W37" i="4"/>
  <c r="X5" i="4"/>
  <c r="X13" i="4"/>
  <c r="X21" i="4"/>
  <c r="X29" i="4"/>
  <c r="X37" i="4"/>
  <c r="V9" i="4"/>
  <c r="V17" i="4"/>
  <c r="V25" i="4"/>
  <c r="V33" i="4"/>
  <c r="C12" i="2"/>
  <c r="K95" i="2" l="1"/>
  <c r="L95" i="2" s="1"/>
  <c r="K167" i="2"/>
  <c r="L167" i="2" s="1"/>
  <c r="K163" i="2"/>
  <c r="L163" i="2" s="1"/>
  <c r="K128" i="2"/>
  <c r="L128" i="2" s="1"/>
  <c r="K75" i="2"/>
  <c r="L75" i="2" s="1"/>
  <c r="K129" i="2"/>
  <c r="L129" i="2" s="1"/>
  <c r="K157" i="2"/>
  <c r="L157" i="2" s="1"/>
  <c r="K149" i="2"/>
  <c r="L149" i="2" s="1"/>
  <c r="K77" i="2"/>
  <c r="L77" i="2" s="1"/>
  <c r="K104" i="2"/>
  <c r="L104" i="2" s="1"/>
  <c r="K90" i="2"/>
  <c r="L90" i="2" s="1"/>
  <c r="K120" i="2"/>
  <c r="L120" i="2" s="1"/>
  <c r="K98" i="2"/>
  <c r="L98" i="2" s="1"/>
  <c r="K139" i="2"/>
  <c r="L139" i="2" s="1"/>
  <c r="K103" i="2"/>
  <c r="L103" i="2" s="1"/>
  <c r="K83" i="2"/>
  <c r="L83" i="2" s="1"/>
  <c r="K161" i="2"/>
  <c r="L161" i="2" s="1"/>
  <c r="K82" i="2"/>
  <c r="L82" i="2" s="1"/>
  <c r="K113" i="2"/>
  <c r="L113" i="2" s="1"/>
  <c r="K132" i="2"/>
  <c r="L132" i="2" s="1"/>
  <c r="K146" i="2"/>
  <c r="L146" i="2" s="1"/>
  <c r="K70" i="2"/>
  <c r="L70" i="2" s="1"/>
  <c r="K68" i="2"/>
  <c r="L68" i="2" s="1"/>
  <c r="K168" i="2"/>
  <c r="L168" i="2" s="1"/>
  <c r="K140" i="2"/>
  <c r="L140" i="2" s="1"/>
  <c r="K144" i="2"/>
  <c r="L144" i="2" s="1"/>
  <c r="K101" i="2"/>
  <c r="L101" i="2" s="1"/>
  <c r="K114" i="2"/>
  <c r="L114" i="2" s="1"/>
  <c r="K76" i="2"/>
  <c r="L76" i="2" s="1"/>
  <c r="K105" i="2"/>
  <c r="L105" i="2" s="1"/>
  <c r="K12" i="2"/>
  <c r="L12" i="2" s="1"/>
  <c r="K72" i="2"/>
  <c r="L72" i="2" s="1"/>
  <c r="K97" i="2"/>
  <c r="L97" i="2" s="1"/>
  <c r="K65" i="2"/>
  <c r="L65" i="2" s="1"/>
  <c r="K86" i="2"/>
  <c r="L86" i="2" s="1"/>
  <c r="K79" i="2"/>
  <c r="L79" i="2" s="1"/>
  <c r="K142" i="2"/>
  <c r="L142" i="2" s="1"/>
  <c r="K121" i="2"/>
  <c r="L121" i="2" s="1"/>
  <c r="K155" i="2"/>
  <c r="L155" i="2" s="1"/>
  <c r="K134" i="2"/>
  <c r="L134" i="2" s="1"/>
  <c r="K158" i="2"/>
  <c r="L158" i="2" s="1"/>
  <c r="K9" i="2"/>
  <c r="L9" i="2" s="1"/>
  <c r="K145" i="2"/>
  <c r="L145" i="2" s="1"/>
  <c r="K136" i="2"/>
  <c r="L136" i="2" s="1"/>
  <c r="K96" i="2"/>
  <c r="L96" i="2" s="1"/>
  <c r="K23" i="2"/>
  <c r="L23" i="2" s="1"/>
  <c r="K102" i="2"/>
  <c r="L102" i="2" s="1"/>
  <c r="K10" i="2"/>
  <c r="L10" i="2" s="1"/>
  <c r="K8" i="2"/>
  <c r="L8" i="2" s="1"/>
  <c r="K159" i="2"/>
  <c r="L159" i="2" s="1"/>
  <c r="K150" i="2"/>
  <c r="L150" i="2" s="1"/>
  <c r="K109" i="2"/>
  <c r="L109" i="2" s="1"/>
  <c r="K41" i="2"/>
  <c r="L41" i="2" s="1"/>
  <c r="K11" i="2"/>
  <c r="L11" i="2" s="1"/>
  <c r="K13" i="2"/>
  <c r="L13" i="2" s="1"/>
  <c r="K25" i="2"/>
  <c r="L25" i="2" s="1"/>
  <c r="K44" i="2"/>
  <c r="L44" i="2" s="1"/>
  <c r="K58" i="2"/>
  <c r="L58" i="2" s="1"/>
  <c r="K110" i="2"/>
  <c r="L110" i="2" s="1"/>
  <c r="K62" i="2"/>
  <c r="L62" i="2" s="1"/>
  <c r="K143" i="2"/>
  <c r="L143" i="2" s="1"/>
  <c r="K94" i="2"/>
  <c r="L94" i="2" s="1"/>
  <c r="K153" i="2"/>
  <c r="L153" i="2" s="1"/>
  <c r="K126" i="2"/>
  <c r="L126" i="2" s="1"/>
  <c r="K55" i="2"/>
  <c r="L55" i="2" s="1"/>
  <c r="K151" i="2"/>
  <c r="L151" i="2" s="1"/>
  <c r="K166" i="2"/>
  <c r="L166" i="2" s="1"/>
  <c r="K147" i="2"/>
  <c r="L147" i="2" s="1"/>
  <c r="K169" i="2"/>
  <c r="L169" i="2" s="1"/>
  <c r="K156" i="2"/>
  <c r="L156" i="2" s="1"/>
  <c r="K165" i="2"/>
  <c r="L165" i="2" s="1"/>
  <c r="K111" i="2"/>
  <c r="L111" i="2" s="1"/>
  <c r="K85" i="2"/>
  <c r="L85" i="2" s="1"/>
  <c r="K162" i="2"/>
  <c r="L162" i="2" s="1"/>
  <c r="K87" i="2"/>
  <c r="L87" i="2" s="1"/>
  <c r="K64" i="2"/>
  <c r="L64" i="2" s="1"/>
  <c r="K71" i="2"/>
  <c r="L71" i="2" s="1"/>
  <c r="K116" i="2"/>
  <c r="L116" i="2" s="1"/>
  <c r="K29" i="2"/>
  <c r="L29" i="2" s="1"/>
  <c r="K31" i="2"/>
  <c r="L31" i="2" s="1"/>
  <c r="K20" i="2"/>
  <c r="L20" i="2" s="1"/>
  <c r="K42" i="2"/>
  <c r="L42" i="2" s="1"/>
  <c r="K49" i="2"/>
  <c r="L49" i="2" s="1"/>
  <c r="K38" i="2"/>
  <c r="L38" i="2" s="1"/>
  <c r="K19" i="2"/>
  <c r="L19" i="2" s="1"/>
  <c r="K34" i="2"/>
  <c r="L34" i="2" s="1"/>
  <c r="K24" i="2"/>
  <c r="L24" i="2" s="1"/>
  <c r="K50" i="2"/>
  <c r="L50" i="2" s="1"/>
  <c r="K48" i="2"/>
  <c r="L48" i="2" s="1"/>
  <c r="K92" i="2"/>
  <c r="L92" i="2" s="1"/>
  <c r="K131" i="2"/>
  <c r="L131" i="2" s="1"/>
  <c r="K119" i="2"/>
  <c r="L119" i="2" s="1"/>
  <c r="K36" i="2"/>
  <c r="L36" i="2" s="1"/>
  <c r="K27" i="2"/>
  <c r="L27" i="2" s="1"/>
  <c r="K32" i="2"/>
  <c r="L32" i="2" s="1"/>
  <c r="K57" i="2"/>
  <c r="L57" i="2" s="1"/>
  <c r="K30" i="2"/>
  <c r="L30" i="2" s="1"/>
  <c r="K63" i="2"/>
  <c r="L63" i="2" s="1"/>
  <c r="K115" i="2"/>
  <c r="L115" i="2" s="1"/>
  <c r="K84" i="2"/>
  <c r="L84" i="2" s="1"/>
  <c r="K141" i="2"/>
  <c r="L141" i="2" s="1"/>
  <c r="K78" i="2"/>
  <c r="L78" i="2" s="1"/>
  <c r="K160" i="2"/>
  <c r="L160" i="2" s="1"/>
  <c r="K125" i="2"/>
  <c r="L125" i="2" s="1"/>
  <c r="K138" i="2"/>
  <c r="L138" i="2" s="1"/>
  <c r="B25" i="1"/>
  <c r="C60" i="2"/>
  <c r="K60" i="2" s="1"/>
  <c r="L60" i="2" s="1"/>
  <c r="K37" i="2"/>
  <c r="L37" i="2" s="1"/>
  <c r="K2" i="2"/>
  <c r="L2" i="2" s="1"/>
  <c r="K40" i="2"/>
  <c r="L40" i="2" s="1"/>
  <c r="K43" i="2"/>
  <c r="L43" i="2" s="1"/>
  <c r="K47" i="2"/>
  <c r="L47" i="2" s="1"/>
  <c r="K59" i="2"/>
  <c r="L59" i="2" s="1"/>
  <c r="K3" i="2"/>
  <c r="L3" i="2" s="1"/>
  <c r="K39" i="2"/>
  <c r="L39" i="2" s="1"/>
  <c r="K21" i="2"/>
  <c r="L21" i="2" s="1"/>
  <c r="K35" i="2"/>
  <c r="L35" i="2" s="1"/>
  <c r="K33" i="2"/>
  <c r="L33" i="2" s="1"/>
  <c r="K54" i="2"/>
  <c r="L54" i="2" s="1"/>
  <c r="K17" i="2"/>
  <c r="L17" i="2" s="1"/>
  <c r="K7" i="2"/>
  <c r="L7" i="2" s="1"/>
  <c r="K6" i="2"/>
  <c r="L6" i="2" s="1"/>
  <c r="K15" i="2"/>
  <c r="L15" i="2" s="1"/>
  <c r="K26" i="2"/>
  <c r="L26" i="2" s="1"/>
  <c r="K16" i="2"/>
  <c r="L16" i="2" s="1"/>
  <c r="K51" i="2"/>
  <c r="L51" i="2" s="1"/>
  <c r="K53" i="2"/>
  <c r="L53" i="2" s="1"/>
  <c r="K22" i="2"/>
  <c r="L22" i="2" s="1"/>
  <c r="K18" i="2"/>
  <c r="L18" i="2" s="1"/>
  <c r="K46" i="2"/>
  <c r="L46" i="2" s="1"/>
  <c r="K52" i="2"/>
  <c r="L52" i="2" s="1"/>
  <c r="K4" i="2"/>
  <c r="L4" i="2" s="1"/>
  <c r="K14" i="2"/>
  <c r="L14" i="2" s="1"/>
  <c r="K45" i="2"/>
  <c r="L45" i="2" s="1"/>
  <c r="K56" i="2"/>
  <c r="L56" i="2" s="1"/>
  <c r="L28" i="2"/>
  <c r="L5" i="2"/>
  <c r="X40" i="4"/>
  <c r="W44" i="4" s="1"/>
  <c r="W40" i="4"/>
  <c r="W45" i="4" s="1"/>
  <c r="V40" i="4"/>
  <c r="W46" i="4" s="1"/>
  <c r="B23" i="1" l="1"/>
  <c r="V50" i="4"/>
  <c r="W50" i="4" s="1"/>
  <c r="O53" i="4" s="1"/>
  <c r="O54" i="4" s="1"/>
  <c r="V51" i="4"/>
  <c r="W51" i="4" s="1"/>
  <c r="B24" i="1" l="1"/>
  <c r="B57" i="4" s="1"/>
  <c r="B58" i="4" s="1"/>
  <c r="B56" i="1" s="1"/>
  <c r="B57" i="1" s="1"/>
  <c r="B59" i="1" l="1"/>
  <c r="B60" i="1" s="1"/>
</calcChain>
</file>

<file path=xl/sharedStrings.xml><?xml version="1.0" encoding="utf-8"?>
<sst xmlns="http://schemas.openxmlformats.org/spreadsheetml/2006/main" count="143" uniqueCount="102">
  <si>
    <t>Wärmepumpentyp</t>
  </si>
  <si>
    <t>Eingabe Daten</t>
  </si>
  <si>
    <t>Gebäudetyp</t>
  </si>
  <si>
    <t>Beheizte Fläche</t>
  </si>
  <si>
    <t>kW</t>
  </si>
  <si>
    <t>m²</t>
  </si>
  <si>
    <t>Personen im Haushalt</t>
  </si>
  <si>
    <t>Wasserverbrauch</t>
  </si>
  <si>
    <t>mittel</t>
  </si>
  <si>
    <t>Personen</t>
  </si>
  <si>
    <t>W/m²</t>
  </si>
  <si>
    <t>Gebäude Heizlast</t>
  </si>
  <si>
    <t>Warmwasserbedarf</t>
  </si>
  <si>
    <t>l/Tag</t>
  </si>
  <si>
    <t>spez. Warmwasser Heizlast</t>
  </si>
  <si>
    <t>spez. Gebäude Heizlast</t>
  </si>
  <si>
    <t>Warmwasser Heizlast</t>
  </si>
  <si>
    <t>Gesamt Heizlast</t>
  </si>
  <si>
    <t>Normaußentemperatur</t>
  </si>
  <si>
    <t>°C</t>
  </si>
  <si>
    <t>Maximalleistung EU08L</t>
  </si>
  <si>
    <t>Maximalleistung EU13L</t>
  </si>
  <si>
    <t>Lufttemperatur</t>
  </si>
  <si>
    <t>Leistung Gebäude</t>
  </si>
  <si>
    <t>max. erf. Zusatzheizleistung</t>
  </si>
  <si>
    <t>Dieses Planungstool ersetzt keine normgerechte Heizlastberechnung des Gebäudes</t>
  </si>
  <si>
    <t>Planungstool Gebäudeheizlast</t>
  </si>
  <si>
    <t xml:space="preserve">Brixentalerstraße 10 | A-6364 Brixen im Thale </t>
  </si>
  <si>
    <t>www.lambda-wp.at</t>
  </si>
  <si>
    <t>Bivalenzleistung</t>
  </si>
  <si>
    <t>Bivalenztemperatur</t>
  </si>
  <si>
    <t>Maximalleistung</t>
  </si>
  <si>
    <t>Leistungdiff</t>
  </si>
  <si>
    <t>Leistung %</t>
  </si>
  <si>
    <t>Tluft</t>
  </si>
  <si>
    <t>h warm</t>
  </si>
  <si>
    <t>h mittel</t>
  </si>
  <si>
    <t>h kalt</t>
  </si>
  <si>
    <t>Wärme warm</t>
  </si>
  <si>
    <t>Wärme mittel</t>
  </si>
  <si>
    <t>wärme kalt</t>
  </si>
  <si>
    <t>SummeWärme warm</t>
  </si>
  <si>
    <t>SummeWärme mittel</t>
  </si>
  <si>
    <t>Summewärme kalt</t>
  </si>
  <si>
    <t>Energieverbrauch</t>
  </si>
  <si>
    <t>kWh</t>
  </si>
  <si>
    <t>Warmwasseranteil</t>
  </si>
  <si>
    <t>Heizenergieverbrauch</t>
  </si>
  <si>
    <t>Leistung warm</t>
  </si>
  <si>
    <t>Leistung mittel</t>
  </si>
  <si>
    <t>Leistung kalt</t>
  </si>
  <si>
    <t>Auswertung mit:</t>
  </si>
  <si>
    <t>Heizlast</t>
  </si>
  <si>
    <t>Normaußentemp</t>
  </si>
  <si>
    <t>Tiefsttemp Jahresmittel</t>
  </si>
  <si>
    <t>Heizleistung mittleres Jahr</t>
  </si>
  <si>
    <t>k</t>
  </si>
  <si>
    <t>d</t>
  </si>
  <si>
    <t xml:space="preserve">T: +43 (0)681 10835577 </t>
  </si>
  <si>
    <t>office@lambda-wp.at </t>
  </si>
  <si>
    <t>EU13L</t>
  </si>
  <si>
    <t>EU08L</t>
  </si>
  <si>
    <t>m</t>
  </si>
  <si>
    <t>w</t>
  </si>
  <si>
    <t>Heizsystem</t>
  </si>
  <si>
    <t>SCOP Heizen</t>
  </si>
  <si>
    <t>Strompreis</t>
  </si>
  <si>
    <t>€/kWh</t>
  </si>
  <si>
    <t>angepasst</t>
  </si>
  <si>
    <t>SCOP tat</t>
  </si>
  <si>
    <t>Gesamtwärmebedarf</t>
  </si>
  <si>
    <t>davon für Warmwasser</t>
  </si>
  <si>
    <t>COP A10W50</t>
  </si>
  <si>
    <t>ca.</t>
  </si>
  <si>
    <t>h</t>
  </si>
  <si>
    <t>Bivalenzdiff</t>
  </si>
  <si>
    <t>K</t>
  </si>
  <si>
    <t>Stundensumme</t>
  </si>
  <si>
    <t>Stromverbrauch Heizen</t>
  </si>
  <si>
    <t>Stromverbrauch Warmwasser</t>
  </si>
  <si>
    <t>Stromverbrauch Heizstab</t>
  </si>
  <si>
    <t>€/a</t>
  </si>
  <si>
    <t>Gesamtjahresstromverbrauch</t>
  </si>
  <si>
    <t>Öl</t>
  </si>
  <si>
    <t>Peletts</t>
  </si>
  <si>
    <t>Erdgas</t>
  </si>
  <si>
    <t>Die kalkulierten Jahresverbräuche stellen Richtwerte dar und können in der Praxis abweichen.</t>
  </si>
  <si>
    <t>Ausgabe Daten / Leistung</t>
  </si>
  <si>
    <t>Ausgabe Daten / Energiebedarf</t>
  </si>
  <si>
    <t>Wärmebedarf warm</t>
  </si>
  <si>
    <t>WB mittel</t>
  </si>
  <si>
    <t>WB kalt</t>
  </si>
  <si>
    <t>Verbrauch - Leistung</t>
  </si>
  <si>
    <t>WB mittleres Jahr</t>
  </si>
  <si>
    <t>WB</t>
  </si>
  <si>
    <t>Aufheizfaktor und Reserve</t>
  </si>
  <si>
    <t>Bei Verwendung eines zusätzlichen Wärmeerzeugers (Solaranlage, Holzkessel, Kachelofen) kann es zu deutlichen Abweichungen kommen.</t>
  </si>
  <si>
    <t>Anzahl</t>
  </si>
  <si>
    <t>Aufheizfaktor</t>
  </si>
  <si>
    <t>Gasverbrauch</t>
  </si>
  <si>
    <t>Bestand BJ &gt; 1980</t>
  </si>
  <si>
    <t>Niedertemperaturheizkörper 45°C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</si>
</sst>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3" borderId="1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/>
    <xf numFmtId="1" fontId="0" fillId="3" borderId="0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/>
    <xf numFmtId="1" fontId="0" fillId="0" borderId="0" xfId="0" applyNumberFormat="1"/>
    <xf numFmtId="165" fontId="0" fillId="0" borderId="0" xfId="0" applyNumberFormat="1"/>
    <xf numFmtId="2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Heizlast</c:v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Leistungsdaten!$I$2:$I$214</c:f>
              <c:numCache>
                <c:formatCode>0.0</c:formatCode>
                <c:ptCount val="213"/>
                <c:pt idx="0">
                  <c:v>-25.426162982617701</c:v>
                </c:pt>
                <c:pt idx="1">
                  <c:v>-25.215545410933402</c:v>
                </c:pt>
                <c:pt idx="2">
                  <c:v>-25.004927839249099</c:v>
                </c:pt>
                <c:pt idx="3">
                  <c:v>-24.7943102675648</c:v>
                </c:pt>
                <c:pt idx="4">
                  <c:v>-24.583692695880501</c:v>
                </c:pt>
                <c:pt idx="5">
                  <c:v>-24.373075124196198</c:v>
                </c:pt>
                <c:pt idx="6">
                  <c:v>-24.162457552511899</c:v>
                </c:pt>
                <c:pt idx="7">
                  <c:v>-23.9518399808276</c:v>
                </c:pt>
                <c:pt idx="8">
                  <c:v>-23.741222409143301</c:v>
                </c:pt>
                <c:pt idx="9">
                  <c:v>-23.530604837458998</c:v>
                </c:pt>
                <c:pt idx="10">
                  <c:v>-23.319987265774699</c:v>
                </c:pt>
                <c:pt idx="11">
                  <c:v>-23.1093696940904</c:v>
                </c:pt>
                <c:pt idx="12">
                  <c:v>-22.898752122406101</c:v>
                </c:pt>
                <c:pt idx="13">
                  <c:v>-22.688134550721799</c:v>
                </c:pt>
                <c:pt idx="14">
                  <c:v>-22.4775169790375</c:v>
                </c:pt>
                <c:pt idx="15">
                  <c:v>-22.266899407353201</c:v>
                </c:pt>
                <c:pt idx="16">
                  <c:v>-22.056281835668901</c:v>
                </c:pt>
                <c:pt idx="17">
                  <c:v>-21.845664263984599</c:v>
                </c:pt>
                <c:pt idx="18">
                  <c:v>-21.6350466923003</c:v>
                </c:pt>
                <c:pt idx="19">
                  <c:v>-21.424429120616001</c:v>
                </c:pt>
                <c:pt idx="20">
                  <c:v>-21.213811548931702</c:v>
                </c:pt>
                <c:pt idx="21">
                  <c:v>-21.0030435033221</c:v>
                </c:pt>
                <c:pt idx="22">
                  <c:v>-20.792125052336601</c:v>
                </c:pt>
                <c:pt idx="23">
                  <c:v>-20.581056293481399</c:v>
                </c:pt>
                <c:pt idx="24">
                  <c:v>-20.369837352740799</c:v>
                </c:pt>
                <c:pt idx="25">
                  <c:v>-20.158468384085801</c:v>
                </c:pt>
                <c:pt idx="26">
                  <c:v>-19.9469495689697</c:v>
                </c:pt>
                <c:pt idx="27">
                  <c:v>-19.735281115815202</c:v>
                </c:pt>
                <c:pt idx="28">
                  <c:v>-19.523463259490999</c:v>
                </c:pt>
                <c:pt idx="29">
                  <c:v>-19.311496260782398</c:v>
                </c:pt>
                <c:pt idx="30">
                  <c:v>-19.0993804058552</c:v>
                </c:pt>
                <c:pt idx="31">
                  <c:v>-18.887116005715399</c:v>
                </c:pt>
                <c:pt idx="32">
                  <c:v>-18.6747033956654</c:v>
                </c:pt>
                <c:pt idx="33">
                  <c:v>-18.462142934757701</c:v>
                </c:pt>
                <c:pt idx="34">
                  <c:v>-18.249435005247701</c:v>
                </c:pt>
                <c:pt idx="35">
                  <c:v>-18.036580012046699</c:v>
                </c:pt>
                <c:pt idx="36">
                  <c:v>-17.823578382175</c:v>
                </c:pt>
                <c:pt idx="37">
                  <c:v>-17.610430564218099</c:v>
                </c:pt>
                <c:pt idx="38">
                  <c:v>-17.397137027784101</c:v>
                </c:pt>
                <c:pt idx="39">
                  <c:v>-17.183698262965802</c:v>
                </c:pt>
                <c:pt idx="40">
                  <c:v>-16.9701147798066</c:v>
                </c:pt>
                <c:pt idx="41">
                  <c:v>-16.7563871077713</c:v>
                </c:pt>
                <c:pt idx="42">
                  <c:v>-16.542515795222499</c:v>
                </c:pt>
                <c:pt idx="43">
                  <c:v>-16.3285014089032</c:v>
                </c:pt>
                <c:pt idx="44">
                  <c:v>-16.114344533426401</c:v>
                </c:pt>
                <c:pt idx="45">
                  <c:v>-15.9000457707713</c:v>
                </c:pt>
                <c:pt idx="46">
                  <c:v>-15.6856057397875</c:v>
                </c:pt>
                <c:pt idx="47">
                  <c:v>-15.4710250757074</c:v>
                </c:pt>
                <c:pt idx="48">
                  <c:v>-15.256304429666701</c:v>
                </c:pt>
                <c:pt idx="49">
                  <c:v>-15.0414444682336</c:v>
                </c:pt>
                <c:pt idx="50">
                  <c:v>-14.826445872947099</c:v>
                </c:pt>
                <c:pt idx="51">
                  <c:v>-14.6113093398645</c:v>
                </c:pt>
                <c:pt idx="52">
                  <c:v>-14.3960355791182</c:v>
                </c:pt>
                <c:pt idx="53">
                  <c:v>-14.180625314482301</c:v>
                </c:pt>
                <c:pt idx="54">
                  <c:v>-13.9650792829488</c:v>
                </c:pt>
                <c:pt idx="55">
                  <c:v>-13.7493982343134</c:v>
                </c:pt>
                <c:pt idx="56">
                  <c:v>-13.5335829307719</c:v>
                </c:pt>
                <c:pt idx="57">
                  <c:v>-13.317634146525601</c:v>
                </c:pt>
                <c:pt idx="58">
                  <c:v>-13.1015526673977</c:v>
                </c:pt>
                <c:pt idx="59">
                  <c:v>-12.8853392904589</c:v>
                </c:pt>
                <c:pt idx="60">
                  <c:v>-12.6689948236637</c:v>
                </c:pt>
                <c:pt idx="61">
                  <c:v>-12.4525200854959</c:v>
                </c:pt>
                <c:pt idx="62">
                  <c:v>-12.2359159046249</c:v>
                </c:pt>
                <c:pt idx="63">
                  <c:v>-12.019183119571199</c:v>
                </c:pt>
                <c:pt idx="64">
                  <c:v>-11.8023225783821</c:v>
                </c:pt>
                <c:pt idx="65">
                  <c:v>-11.5853351383166</c:v>
                </c:pt>
                <c:pt idx="66">
                  <c:v>-11.3682216655404</c:v>
                </c:pt>
                <c:pt idx="67">
                  <c:v>-11.150983034830301</c:v>
                </c:pt>
                <c:pt idx="68">
                  <c:v>-10.933620129287601</c:v>
                </c:pt>
                <c:pt idx="69">
                  <c:v>-10.716133840060801</c:v>
                </c:pt>
                <c:pt idx="70">
                  <c:v>-10.498525066078001</c:v>
                </c:pt>
                <c:pt idx="71">
                  <c:v>-10.280794713787101</c:v>
                </c:pt>
                <c:pt idx="72">
                  <c:v>-10.062943696905799</c:v>
                </c:pt>
                <c:pt idx="73">
                  <c:v>-9.8449729361791807</c:v>
                </c:pt>
                <c:pt idx="74">
                  <c:v>-9.6268833591470209</c:v>
                </c:pt>
                <c:pt idx="75">
                  <c:v>-9.4086758999179505</c:v>
                </c:pt>
                <c:pt idx="76">
                  <c:v>-9.1903514989525892</c:v>
                </c:pt>
                <c:pt idx="77">
                  <c:v>-8.9719111028542606</c:v>
                </c:pt>
                <c:pt idx="78">
                  <c:v>-8.7533556641674402</c:v>
                </c:pt>
                <c:pt idx="79">
                  <c:v>-8.5346861411838209</c:v>
                </c:pt>
                <c:pt idx="80">
                  <c:v>-8.3159034977555599</c:v>
                </c:pt>
                <c:pt idx="81">
                  <c:v>-8.09700870311584</c:v>
                </c:pt>
                <c:pt idx="82">
                  <c:v>-7.8780027317063501</c:v>
                </c:pt>
                <c:pt idx="83">
                  <c:v>-7.6588865630115501</c:v>
                </c:pt>
                <c:pt idx="84">
                  <c:v>-7.4396611813995097</c:v>
                </c:pt>
                <c:pt idx="85">
                  <c:v>-7.2203275759693</c:v>
                </c:pt>
                <c:pt idx="86">
                  <c:v>-7.0008867404044999</c:v>
                </c:pt>
                <c:pt idx="87">
                  <c:v>-6.7813396728328099</c:v>
                </c:pt>
                <c:pt idx="88">
                  <c:v>-6.5616873756915997</c:v>
                </c:pt>
                <c:pt idx="89">
                  <c:v>-6.3419308555991396</c:v>
                </c:pt>
                <c:pt idx="90">
                  <c:v>-6.1220711232313398</c:v>
                </c:pt>
                <c:pt idx="91">
                  <c:v>-5.9021091932039296</c:v>
                </c:pt>
                <c:pt idx="92">
                  <c:v>-5.6820460839597802</c:v>
                </c:pt>
                <c:pt idx="93">
                  <c:v>-5.4618828176612997</c:v>
                </c:pt>
                <c:pt idx="94">
                  <c:v>-5.2416204200877399</c:v>
                </c:pt>
                <c:pt idx="95">
                  <c:v>-5.0212599205370898</c:v>
                </c:pt>
                <c:pt idx="96">
                  <c:v>-4.8008023517326999</c:v>
                </c:pt>
                <c:pt idx="97">
                  <c:v>-4.5802487497342002</c:v>
                </c:pt>
                <c:pt idx="98">
                  <c:v>-4.3596001538527096</c:v>
                </c:pt>
                <c:pt idx="99">
                  <c:v>-4.1388576065702001</c:v>
                </c:pt>
                <c:pt idx="100">
                  <c:v>-3.91802215346272</c:v>
                </c:pt>
                <c:pt idx="101">
                  <c:v>-3.6970948431276001</c:v>
                </c:pt>
                <c:pt idx="102">
                  <c:v>-3.4760767271142199</c:v>
                </c:pt>
                <c:pt idx="103">
                  <c:v>-3.2549688598584199</c:v>
                </c:pt>
                <c:pt idx="104">
                  <c:v>-3.0337722986203199</c:v>
                </c:pt>
                <c:pt idx="105">
                  <c:v>-2.8124881034254101</c:v>
                </c:pt>
                <c:pt idx="106">
                  <c:v>-2.5911173370089</c:v>
                </c:pt>
                <c:pt idx="107">
                  <c:v>-2.36966106476306</c:v>
                </c:pt>
                <c:pt idx="108">
                  <c:v>-2.1481203546875598</c:v>
                </c:pt>
                <c:pt idx="109">
                  <c:v>-1.92649627734264</c:v>
                </c:pt>
                <c:pt idx="110">
                  <c:v>-1.7047899058049401</c:v>
                </c:pt>
                <c:pt idx="111">
                  <c:v>-1.4830023156260801</c:v>
                </c:pt>
                <c:pt idx="112">
                  <c:v>-1.2611345847936399</c:v>
                </c:pt>
                <c:pt idx="113">
                  <c:v>-1.0391877936946099</c:v>
                </c:pt>
                <c:pt idx="114">
                  <c:v>-0.817163025081168</c:v>
                </c:pt>
                <c:pt idx="115">
                  <c:v>-0.59506136403864396</c:v>
                </c:pt>
                <c:pt idx="116">
                  <c:v>-0.37288389795569299</c:v>
                </c:pt>
                <c:pt idx="117">
                  <c:v>-0.150631716496439</c:v>
                </c:pt>
                <c:pt idx="118">
                  <c:v>7.1694088425373406E-2</c:v>
                </c:pt>
                <c:pt idx="119">
                  <c:v>0.30607267901535401</c:v>
                </c:pt>
                <c:pt idx="120">
                  <c:v>0.51058467600942303</c:v>
                </c:pt>
                <c:pt idx="121">
                  <c:v>0.73013595822380495</c:v>
                </c:pt>
                <c:pt idx="122">
                  <c:v>0.933905232783107</c:v>
                </c:pt>
                <c:pt idx="123">
                  <c:v>1.15296879717588</c:v>
                </c:pt>
                <c:pt idx="124">
                  <c:v>1.37185063095899</c:v>
                </c:pt>
                <c:pt idx="125">
                  <c:v>1.57455909675985</c:v>
                </c:pt>
                <c:pt idx="126">
                  <c:v>1.79294344496271</c:v>
                </c:pt>
                <c:pt idx="127">
                  <c:v>1.99489519821474</c:v>
                </c:pt>
                <c:pt idx="128">
                  <c:v>2.21277589514002</c:v>
                </c:pt>
                <c:pt idx="129">
                  <c:v>2.4304667191618599</c:v>
                </c:pt>
                <c:pt idx="130">
                  <c:v>2.63133696759916</c:v>
                </c:pt>
                <c:pt idx="131">
                  <c:v>2.8485150935905201</c:v>
                </c:pt>
                <c:pt idx="132">
                  <c:v>3.0486160933740098</c:v>
                </c:pt>
                <c:pt idx="133">
                  <c:v>3.2652758541803601</c:v>
                </c:pt>
                <c:pt idx="134">
                  <c:v>3.4817381513994698</c:v>
                </c:pt>
                <c:pt idx="135">
                  <c:v>3.6807390835802298</c:v>
                </c:pt>
                <c:pt idx="136">
                  <c:v>3.8966746960786902</c:v>
                </c:pt>
                <c:pt idx="137">
                  <c:v>4.0948953144854103</c:v>
                </c:pt>
                <c:pt idx="138">
                  <c:v>4.3102990784238502</c:v>
                </c:pt>
                <c:pt idx="139">
                  <c:v>4.5254983440509697</c:v>
                </c:pt>
                <c:pt idx="140">
                  <c:v>4.7226024902164596</c:v>
                </c:pt>
                <c:pt idx="141">
                  <c:v>4.9372623219305201</c:v>
                </c:pt>
                <c:pt idx="142">
                  <c:v>5.1335765788745604</c:v>
                </c:pt>
                <c:pt idx="143">
                  <c:v>5.3476923214128202</c:v>
                </c:pt>
                <c:pt idx="144">
                  <c:v>5.5615970917301798</c:v>
                </c:pt>
                <c:pt idx="145">
                  <c:v>5.7752895968798299</c:v>
                </c:pt>
                <c:pt idx="146">
                  <c:v>5.9887685624631999</c:v>
                </c:pt>
                <c:pt idx="147">
                  <c:v>6.2020327326530102</c:v>
                </c:pt>
                <c:pt idx="148">
                  <c:v>6.41508087021655</c:v>
                </c:pt>
                <c:pt idx="149">
                  <c:v>6.6089033767638297</c:v>
                </c:pt>
                <c:pt idx="150">
                  <c:v>6.8405241916484298</c:v>
                </c:pt>
                <c:pt idx="151">
                  <c:v>7.05291699423762</c:v>
                </c:pt>
                <c:pt idx="152">
                  <c:v>7.2650890016906402</c:v>
                </c:pt>
                <c:pt idx="153">
                  <c:v>7.4770390701062404</c:v>
                </c:pt>
                <c:pt idx="154">
                  <c:v>7.6691377306825004</c:v>
                </c:pt>
                <c:pt idx="155">
                  <c:v>7.9002689079437403</c:v>
                </c:pt>
                <c:pt idx="156">
                  <c:v>8.1115464833617192</c:v>
                </c:pt>
                <c:pt idx="157">
                  <c:v>8.3225977317849296</c:v>
                </c:pt>
                <c:pt idx="158">
                  <c:v>8.5334216032621395</c:v>
                </c:pt>
                <c:pt idx="159">
                  <c:v>8.7440170667083805</c:v>
                </c:pt>
                <c:pt idx="160">
                  <c:v>8.9543831099308004</c:v>
                </c:pt>
                <c:pt idx="161">
                  <c:v>9.1645187396545396</c:v>
                </c:pt>
                <c:pt idx="162">
                  <c:v>9.3744229815487792</c:v>
                </c:pt>
                <c:pt idx="163">
                  <c:v>9.5840948802528505</c:v>
                </c:pt>
                <c:pt idx="164">
                  <c:v>9.7935334994024998</c:v>
                </c:pt>
                <c:pt idx="165">
                  <c:v>10.0027379216562</c:v>
                </c:pt>
                <c:pt idx="166">
                  <c:v>10.2117072487213</c:v>
                </c:pt>
                <c:pt idx="167">
                  <c:v>10.4204406013809</c:v>
                </c:pt>
                <c:pt idx="168">
                  <c:v>10.6289371195199</c:v>
                </c:pt>
                <c:pt idx="169">
                  <c:v>10.8371959621517</c:v>
                </c:pt>
                <c:pt idx="170">
                  <c:v>11.0452163074445</c:v>
                </c:pt>
                <c:pt idx="171">
                  <c:v>11.252997352748</c:v>
                </c:pt>
                <c:pt idx="172">
                  <c:v>11.460538314620001</c:v>
                </c:pt>
                <c:pt idx="173">
                  <c:v>11.667838428852599</c:v>
                </c:pt>
                <c:pt idx="174">
                  <c:v>11.874896950498799</c:v>
                </c:pt>
                <c:pt idx="175">
                  <c:v>12.0817131538989</c:v>
                </c:pt>
                <c:pt idx="176">
                  <c:v>12.288286332706599</c:v>
                </c:pt>
                <c:pt idx="177">
                  <c:v>12.494615799916</c:v>
                </c:pt>
                <c:pt idx="178">
                  <c:v>12.700700887886599</c:v>
                </c:pt>
                <c:pt idx="179">
                  <c:v>12.9065409483708</c:v>
                </c:pt>
                <c:pt idx="180">
                  <c:v>13.1121353525385</c:v>
                </c:pt>
                <c:pt idx="181">
                  <c:v>13.317483491003999</c:v>
                </c:pt>
                <c:pt idx="182">
                  <c:v>13.5225847738513</c:v>
                </c:pt>
                <c:pt idx="183">
                  <c:v>13.727438630659799</c:v>
                </c:pt>
                <c:pt idx="184">
                  <c:v>13.9320445105294</c:v>
                </c:pt>
                <c:pt idx="185">
                  <c:v>14.1364018821064</c:v>
                </c:pt>
                <c:pt idx="186">
                  <c:v>14.340510233607899</c:v>
                </c:pt>
                <c:pt idx="187">
                  <c:v>14.544369072847299</c:v>
                </c:pt>
                <c:pt idx="188">
                  <c:v>14.7479779272585</c:v>
                </c:pt>
                <c:pt idx="189">
                  <c:v>14.9513363439205</c:v>
                </c:pt>
                <c:pt idx="190">
                  <c:v>15.1544438895817</c:v>
                </c:pt>
                <c:pt idx="191">
                  <c:v>15.3573001506841</c:v>
                </c:pt>
                <c:pt idx="192">
                  <c:v>15.5599047333864</c:v>
                </c:pt>
                <c:pt idx="193">
                  <c:v>15.7622572635882</c:v>
                </c:pt>
                <c:pt idx="194">
                  <c:v>15.9643573869524</c:v>
                </c:pt>
                <c:pt idx="195">
                  <c:v>16.166204768928999</c:v>
                </c:pt>
                <c:pt idx="196">
                  <c:v>16.392367001013199</c:v>
                </c:pt>
                <c:pt idx="197">
                  <c:v>16.6185084768547</c:v>
                </c:pt>
                <c:pt idx="198">
                  <c:v>16.819813803381901</c:v>
                </c:pt>
                <c:pt idx="199">
                  <c:v>17.045787296819899</c:v>
                </c:pt>
                <c:pt idx="200">
                  <c:v>17.271736628516699</c:v>
                </c:pt>
                <c:pt idx="201">
                  <c:v>17.472492607986499</c:v>
                </c:pt>
                <c:pt idx="202">
                  <c:v>17.698267796420001</c:v>
                </c:pt>
                <c:pt idx="203">
                  <c:v>17.9240154135605</c:v>
                </c:pt>
                <c:pt idx="204">
                  <c:v>18.124214970158899</c:v>
                </c:pt>
                <c:pt idx="205">
                  <c:v>18.3497823331933</c:v>
                </c:pt>
                <c:pt idx="206">
                  <c:v>18.575318711311802</c:v>
                </c:pt>
                <c:pt idx="207">
                  <c:v>18.774954985064198</c:v>
                </c:pt>
                <c:pt idx="208">
                  <c:v>19.000305048220898</c:v>
                </c:pt>
                <c:pt idx="209">
                  <c:v>19.225620708749702</c:v>
                </c:pt>
                <c:pt idx="210">
                  <c:v>19.424687055556898</c:v>
                </c:pt>
                <c:pt idx="211">
                  <c:v>19.649810390223799</c:v>
                </c:pt>
                <c:pt idx="212">
                  <c:v>19.874895900441999</c:v>
                </c:pt>
              </c:numCache>
            </c:numRef>
          </c:xVal>
          <c:yVal>
            <c:numRef>
              <c:f>Leistungsdaten!$K$2:$K$214</c:f>
              <c:numCache>
                <c:formatCode>0.0</c:formatCode>
                <c:ptCount val="213"/>
                <c:pt idx="0">
                  <c:v>10.413331527336913</c:v>
                </c:pt>
                <c:pt idx="1">
                  <c:v>10.413331527336913</c:v>
                </c:pt>
                <c:pt idx="2">
                  <c:v>10.413331527336913</c:v>
                </c:pt>
                <c:pt idx="3">
                  <c:v>10.413331527336913</c:v>
                </c:pt>
                <c:pt idx="4">
                  <c:v>10.413331527336913</c:v>
                </c:pt>
                <c:pt idx="5">
                  <c:v>10.413331527336913</c:v>
                </c:pt>
                <c:pt idx="6">
                  <c:v>10.413331527336913</c:v>
                </c:pt>
                <c:pt idx="7">
                  <c:v>10.413331527336913</c:v>
                </c:pt>
                <c:pt idx="8">
                  <c:v>10.413331527336913</c:v>
                </c:pt>
                <c:pt idx="9">
                  <c:v>10.413331527336913</c:v>
                </c:pt>
                <c:pt idx="10">
                  <c:v>10.413331527336913</c:v>
                </c:pt>
                <c:pt idx="11">
                  <c:v>10.413331527336913</c:v>
                </c:pt>
                <c:pt idx="12">
                  <c:v>10.413331527336913</c:v>
                </c:pt>
                <c:pt idx="13">
                  <c:v>10.413331527336913</c:v>
                </c:pt>
                <c:pt idx="14">
                  <c:v>10.413331527336913</c:v>
                </c:pt>
                <c:pt idx="15">
                  <c:v>10.413331527336913</c:v>
                </c:pt>
                <c:pt idx="16">
                  <c:v>10.413331527336913</c:v>
                </c:pt>
                <c:pt idx="17">
                  <c:v>10.413331527336913</c:v>
                </c:pt>
                <c:pt idx="18">
                  <c:v>10.413331527336913</c:v>
                </c:pt>
                <c:pt idx="19">
                  <c:v>10.413331527336913</c:v>
                </c:pt>
                <c:pt idx="20">
                  <c:v>10.413331527336913</c:v>
                </c:pt>
                <c:pt idx="21">
                  <c:v>10.413331527336913</c:v>
                </c:pt>
                <c:pt idx="22">
                  <c:v>10.413331527336913</c:v>
                </c:pt>
                <c:pt idx="23">
                  <c:v>10.413331527336913</c:v>
                </c:pt>
                <c:pt idx="24">
                  <c:v>10.413331527336913</c:v>
                </c:pt>
                <c:pt idx="25">
                  <c:v>10.413331527336913</c:v>
                </c:pt>
                <c:pt idx="26">
                  <c:v>10.413331527336913</c:v>
                </c:pt>
                <c:pt idx="27">
                  <c:v>10.413331527336913</c:v>
                </c:pt>
                <c:pt idx="28">
                  <c:v>10.413331527336913</c:v>
                </c:pt>
                <c:pt idx="29">
                  <c:v>10.413331527336913</c:v>
                </c:pt>
                <c:pt idx="30">
                  <c:v>10.413331527336913</c:v>
                </c:pt>
                <c:pt idx="31">
                  <c:v>10.413331527336913</c:v>
                </c:pt>
                <c:pt idx="32">
                  <c:v>10.413331527336913</c:v>
                </c:pt>
                <c:pt idx="33">
                  <c:v>10.413331527336913</c:v>
                </c:pt>
                <c:pt idx="34">
                  <c:v>10.413331527336913</c:v>
                </c:pt>
                <c:pt idx="35">
                  <c:v>10.413331527336913</c:v>
                </c:pt>
                <c:pt idx="36">
                  <c:v>10.413331527336913</c:v>
                </c:pt>
                <c:pt idx="37">
                  <c:v>10.413331527336913</c:v>
                </c:pt>
                <c:pt idx="38">
                  <c:v>10.413331527336913</c:v>
                </c:pt>
                <c:pt idx="39">
                  <c:v>10.413331527336913</c:v>
                </c:pt>
                <c:pt idx="40">
                  <c:v>10.413331527336913</c:v>
                </c:pt>
                <c:pt idx="41">
                  <c:v>10.413331527336913</c:v>
                </c:pt>
                <c:pt idx="42">
                  <c:v>10.413331527336913</c:v>
                </c:pt>
                <c:pt idx="43">
                  <c:v>10.413331527336913</c:v>
                </c:pt>
                <c:pt idx="44">
                  <c:v>10.413331527336913</c:v>
                </c:pt>
                <c:pt idx="45">
                  <c:v>10.413331527336913</c:v>
                </c:pt>
                <c:pt idx="46">
                  <c:v>10.413331527336913</c:v>
                </c:pt>
                <c:pt idx="47">
                  <c:v>10.413331527336913</c:v>
                </c:pt>
                <c:pt idx="48">
                  <c:v>10.413331527336913</c:v>
                </c:pt>
                <c:pt idx="49">
                  <c:v>10.413331527336913</c:v>
                </c:pt>
                <c:pt idx="50">
                  <c:v>10.413331527336913</c:v>
                </c:pt>
                <c:pt idx="51">
                  <c:v>10.413331527336913</c:v>
                </c:pt>
                <c:pt idx="52">
                  <c:v>10.413331527336913</c:v>
                </c:pt>
                <c:pt idx="53">
                  <c:v>10.413331527336913</c:v>
                </c:pt>
                <c:pt idx="54">
                  <c:v>10.413331527336913</c:v>
                </c:pt>
                <c:pt idx="55">
                  <c:v>10.413331527336913</c:v>
                </c:pt>
                <c:pt idx="56">
                  <c:v>10.413331527336913</c:v>
                </c:pt>
                <c:pt idx="57">
                  <c:v>10.413331527336913</c:v>
                </c:pt>
                <c:pt idx="58">
                  <c:v>10.413331527336913</c:v>
                </c:pt>
                <c:pt idx="59">
                  <c:v>10.375578185707999</c:v>
                </c:pt>
                <c:pt idx="60">
                  <c:v>10.30434431146168</c:v>
                </c:pt>
                <c:pt idx="61">
                  <c:v>10.233067543885515</c:v>
                </c:pt>
                <c:pt idx="62">
                  <c:v>10.161748155828327</c:v>
                </c:pt>
                <c:pt idx="63">
                  <c:v>10.090386423382519</c:v>
                </c:pt>
                <c:pt idx="64">
                  <c:v>10.0189826257773</c:v>
                </c:pt>
                <c:pt idx="65">
                  <c:v>9.9475370452749381</c:v>
                </c:pt>
                <c:pt idx="66">
                  <c:v>9.876049967070335</c:v>
                </c:pt>
                <c:pt idx="67">
                  <c:v>9.8045216791936909</c:v>
                </c:pt>
                <c:pt idx="68">
                  <c:v>9.7329524724161445</c:v>
                </c:pt>
                <c:pt idx="69">
                  <c:v>9.6613426401584643</c:v>
                </c:pt>
                <c:pt idx="70">
                  <c:v>9.5896924784029505</c:v>
                </c:pt>
                <c:pt idx="71">
                  <c:v>9.518002285607869</c:v>
                </c:pt>
                <c:pt idx="72">
                  <c:v>9.4462723626251552</c:v>
                </c:pt>
                <c:pt idx="73">
                  <c:v>9.374503012620595</c:v>
                </c:pt>
                <c:pt idx="74">
                  <c:v>9.3026945409971979</c:v>
                </c:pt>
                <c:pt idx="75">
                  <c:v>9.2308472553208443</c:v>
                </c:pt>
                <c:pt idx="76">
                  <c:v>9.1589614652488827</c:v>
                </c:pt>
                <c:pt idx="77">
                  <c:v>9.0870374824612163</c:v>
                </c:pt>
                <c:pt idx="78">
                  <c:v>9.0150756205939384</c:v>
                </c:pt>
                <c:pt idx="79">
                  <c:v>8.9430761951754736</c:v>
                </c:pt>
                <c:pt idx="80">
                  <c:v>8.8710395235651038</c:v>
                </c:pt>
                <c:pt idx="81">
                  <c:v>8.7989659248938672</c:v>
                </c:pt>
                <c:pt idx="82">
                  <c:v>8.7268557200077606</c:v>
                </c:pt>
                <c:pt idx="83">
                  <c:v>8.6547092314131788</c:v>
                </c:pt>
                <c:pt idx="84">
                  <c:v>8.5825267832244894</c:v>
                </c:pt>
                <c:pt idx="85">
                  <c:v>8.5103087011138072</c:v>
                </c:pt>
                <c:pt idx="86">
                  <c:v>8.4380553122627386</c:v>
                </c:pt>
                <c:pt idx="87">
                  <c:v>8.3657669453161745</c:v>
                </c:pt>
                <c:pt idx="88">
                  <c:v>8.2934439303380074</c:v>
                </c:pt>
                <c:pt idx="89">
                  <c:v>8.2210865987687463</c:v>
                </c:pt>
                <c:pt idx="90">
                  <c:v>8.1486952833849173</c:v>
                </c:pt>
                <c:pt idx="91">
                  <c:v>8.0762703182602795</c:v>
                </c:pt>
                <c:pt idx="92">
                  <c:v>8.0038120387287233</c:v>
                </c:pt>
                <c:pt idx="93">
                  <c:v>7.9313207813488358</c:v>
                </c:pt>
                <c:pt idx="94">
                  <c:v>7.8587968838700952</c:v>
                </c:pt>
                <c:pt idx="95">
                  <c:v>7.7862406852005588</c:v>
                </c:pt>
                <c:pt idx="96">
                  <c:v>7.7136525253761254</c:v>
                </c:pt>
                <c:pt idx="97">
                  <c:v>7.6410327455312039</c:v>
                </c:pt>
                <c:pt idx="98">
                  <c:v>7.5683816878707919</c:v>
                </c:pt>
                <c:pt idx="99">
                  <c:v>7.4956996956439221</c:v>
                </c:pt>
                <c:pt idx="100">
                  <c:v>7.422987113118392</c:v>
                </c:pt>
                <c:pt idx="101">
                  <c:v>7.3502442855567924</c:v>
                </c:pt>
                <c:pt idx="102">
                  <c:v>7.2774715591937005</c:v>
                </c:pt>
                <c:pt idx="103">
                  <c:v>7.2046692812141027</c:v>
                </c:pt>
                <c:pt idx="104">
                  <c:v>7.1318377997329092</c:v>
                </c:pt>
                <c:pt idx="105">
                  <c:v>7.0589774637755562</c:v>
                </c:pt>
                <c:pt idx="106">
                  <c:v>6.9860886232596897</c:v>
                </c:pt>
                <c:pt idx="107">
                  <c:v>6.9131716289778229</c:v>
                </c:pt>
                <c:pt idx="108">
                  <c:v>6.8402268325809823</c:v>
                </c:pt>
                <c:pt idx="109">
                  <c:v>6.7672545865632934</c:v>
                </c:pt>
                <c:pt idx="110">
                  <c:v>6.6942552442474357</c:v>
                </c:pt>
                <c:pt idx="111">
                  <c:v>6.6212291597710013</c:v>
                </c:pt>
                <c:pt idx="112">
                  <c:v>6.5481766880736512</c:v>
                </c:pt>
                <c:pt idx="113">
                  <c:v>6.4750981848850779</c:v>
                </c:pt>
                <c:pt idx="114">
                  <c:v>6.4019940067137453</c:v>
                </c:pt>
                <c:pt idx="115">
                  <c:v>6.3288645108363264</c:v>
                </c:pt>
                <c:pt idx="116">
                  <c:v>6.2557100552878913</c:v>
                </c:pt>
                <c:pt idx="117">
                  <c:v>6.1825309988527382</c:v>
                </c:pt>
                <c:pt idx="118">
                  <c:v>6.1093277010558751</c:v>
                </c:pt>
                <c:pt idx="119">
                  <c:v>6.0321558866090497</c:v>
                </c:pt>
                <c:pt idx="120">
                  <c:v>5.9648179875097842</c:v>
                </c:pt>
                <c:pt idx="121">
                  <c:v>5.8925282328442181</c:v>
                </c:pt>
                <c:pt idx="122">
                  <c:v>5.8254348835469507</c:v>
                </c:pt>
                <c:pt idx="123">
                  <c:v>5.7533057155166087</c:v>
                </c:pt>
                <c:pt idx="124">
                  <c:v>5.6812363843546985</c:v>
                </c:pt>
                <c:pt idx="125">
                  <c:v>5.6144923183962545</c:v>
                </c:pt>
                <c:pt idx="126">
                  <c:v>5.5425867900151031</c:v>
                </c:pt>
                <c:pt idx="127">
                  <c:v>5.4760918802626968</c:v>
                </c:pt>
                <c:pt idx="128">
                  <c:v>5.4043521847882188</c:v>
                </c:pt>
                <c:pt idx="129">
                  <c:v>5.3326750071249265</c:v>
                </c:pt>
                <c:pt idx="130">
                  <c:v>5.2665361951230683</c:v>
                </c:pt>
                <c:pt idx="131">
                  <c:v>5.1950278291126484</c:v>
                </c:pt>
                <c:pt idx="132">
                  <c:v>5.1291423009718544</c:v>
                </c:pt>
                <c:pt idx="133">
                  <c:v>5.0578046125893392</c:v>
                </c:pt>
                <c:pt idx="134">
                  <c:v>4.9865319413369118</c:v>
                </c:pt>
                <c:pt idx="135">
                  <c:v>4.9210086229555632</c:v>
                </c:pt>
                <c:pt idx="136">
                  <c:v>4.8499093686326935</c:v>
                </c:pt>
                <c:pt idx="137">
                  <c:v>4.78464297742899</c:v>
                </c:pt>
                <c:pt idx="138">
                  <c:v>4.7137188402884709</c:v>
                </c:pt>
                <c:pt idx="139">
                  <c:v>4.6428620365408886</c:v>
                </c:pt>
                <c:pt idx="140">
                  <c:v>4.5779632565102801</c:v>
                </c:pt>
                <c:pt idx="141">
                  <c:v>4.5072840675087376</c:v>
                </c:pt>
                <c:pt idx="142">
                  <c:v>4.4426453674806492</c:v>
                </c:pt>
                <c:pt idx="143">
                  <c:v>4.3721453260233076</c:v>
                </c:pt>
                <c:pt idx="144">
                  <c:v>4.3017147495671999</c:v>
                </c:pt>
                <c:pt idx="145">
                  <c:v>4.2313540638297589</c:v>
                </c:pt>
                <c:pt idx="146">
                  <c:v>4.1610636884211933</c:v>
                </c:pt>
                <c:pt idx="147">
                  <c:v>4.0908440368369083</c:v>
                </c:pt>
                <c:pt idx="148">
                  <c:v>4.0206955164498321</c:v>
                </c:pt>
                <c:pt idx="149">
                  <c:v>3.9568772535563062</c:v>
                </c:pt>
                <c:pt idx="150">
                  <c:v>3.8806134681000373</c:v>
                </c:pt>
                <c:pt idx="151">
                  <c:v>3.81068072420054</c:v>
                </c:pt>
                <c:pt idx="152">
                  <c:v>3.740820679608758</c:v>
                </c:pt>
                <c:pt idx="153">
                  <c:v>3.671033710967178</c:v>
                </c:pt>
                <c:pt idx="154">
                  <c:v>3.60778304394952</c:v>
                </c:pt>
                <c:pt idx="155">
                  <c:v>3.5316804772450192</c:v>
                </c:pt>
                <c:pt idx="156">
                  <c:v>3.4621149345651645</c:v>
                </c:pt>
                <c:pt idx="157">
                  <c:v>3.392623912620333</c:v>
                </c:pt>
                <c:pt idx="158">
                  <c:v>3.3232077571189005</c:v>
                </c:pt>
                <c:pt idx="159">
                  <c:v>3.2538668075573094</c:v>
                </c:pt>
                <c:pt idx="160">
                  <c:v>3.184601397211559</c:v>
                </c:pt>
                <c:pt idx="161">
                  <c:v>3.1154118531286858</c:v>
                </c:pt>
                <c:pt idx="162">
                  <c:v>3.0462984961181823</c:v>
                </c:pt>
                <c:pt idx="163">
                  <c:v>2.9772616407434067</c:v>
                </c:pt>
                <c:pt idx="164">
                  <c:v>2.9083015953129303</c:v>
                </c:pt>
                <c:pt idx="165">
                  <c:v>2.8394186618718744</c:v>
                </c:pt>
                <c:pt idx="166">
                  <c:v>2.7706131361933046</c:v>
                </c:pt>
                <c:pt idx="167">
                  <c:v>2.7018853077693756</c:v>
                </c:pt>
                <c:pt idx="168">
                  <c:v>2.6332354598027581</c:v>
                </c:pt>
                <c:pt idx="169">
                  <c:v>2.5646638691978483</c:v>
                </c:pt>
                <c:pt idx="170">
                  <c:v>2.4961708065521044</c:v>
                </c:pt>
                <c:pt idx="171">
                  <c:v>2.4277565361472604</c:v>
                </c:pt>
                <c:pt idx="172">
                  <c:v>2.3594213159405624</c:v>
                </c:pt>
                <c:pt idx="173">
                  <c:v>2.2911653975561475</c:v>
                </c:pt>
                <c:pt idx="174">
                  <c:v>2.2229890262762799</c:v>
                </c:pt>
                <c:pt idx="175">
                  <c:v>2.1548924410326626</c:v>
                </c:pt>
                <c:pt idx="176">
                  <c:v>2.0868758743978417</c:v>
                </c:pt>
                <c:pt idx="177">
                  <c:v>2.0189395525763172</c:v>
                </c:pt>
                <c:pt idx="178">
                  <c:v>1.9510836953963107</c:v>
                </c:pt>
                <c:pt idx="179">
                  <c:v>1.8833085163007111</c:v>
                </c:pt>
                <c:pt idx="180">
                  <c:v>1.8156142223389755</c:v>
                </c:pt>
                <c:pt idx="181">
                  <c:v>1.7480010141582702</c:v>
                </c:pt>
                <c:pt idx="182">
                  <c:v>1.6804690859951419</c:v>
                </c:pt>
                <c:pt idx="183">
                  <c:v>1.6130186256670562</c:v>
                </c:pt>
                <c:pt idx="184">
                  <c:v>1.5456498145641304</c:v>
                </c:pt>
                <c:pt idx="185">
                  <c:v>1.4783628276406096</c:v>
                </c:pt>
                <c:pt idx="186">
                  <c:v>1.4111578334068291</c:v>
                </c:pt>
                <c:pt idx="187">
                  <c:v>1.34403499392082</c:v>
                </c:pt>
                <c:pt idx="188">
                  <c:v>1.2769944647803413</c:v>
                </c:pt>
                <c:pt idx="189">
                  <c:v>1.210036395114779</c:v>
                </c:pt>
                <c:pt idx="190">
                  <c:v>1.1940133333333338</c:v>
                </c:pt>
                <c:pt idx="191">
                  <c:v>1.1940133333333338</c:v>
                </c:pt>
                <c:pt idx="192">
                  <c:v>1.1940133333333338</c:v>
                </c:pt>
                <c:pt idx="193">
                  <c:v>1.1940133333333338</c:v>
                </c:pt>
                <c:pt idx="194">
                  <c:v>1.1940133333333338</c:v>
                </c:pt>
                <c:pt idx="195">
                  <c:v>1.1940133333333338</c:v>
                </c:pt>
                <c:pt idx="196">
                  <c:v>1.1940133333333338</c:v>
                </c:pt>
                <c:pt idx="197">
                  <c:v>1.1940133333333338</c:v>
                </c:pt>
                <c:pt idx="198">
                  <c:v>1.1940133333333338</c:v>
                </c:pt>
                <c:pt idx="199">
                  <c:v>1.1940133333333338</c:v>
                </c:pt>
                <c:pt idx="200">
                  <c:v>1.1940133333333338</c:v>
                </c:pt>
                <c:pt idx="201">
                  <c:v>1.1940133333333338</c:v>
                </c:pt>
                <c:pt idx="202">
                  <c:v>1.1940133333333338</c:v>
                </c:pt>
                <c:pt idx="203">
                  <c:v>1.1940133333333338</c:v>
                </c:pt>
                <c:pt idx="204">
                  <c:v>1.1940133333333338</c:v>
                </c:pt>
                <c:pt idx="205">
                  <c:v>1.1940133333333338</c:v>
                </c:pt>
                <c:pt idx="206">
                  <c:v>1.1940133333333338</c:v>
                </c:pt>
                <c:pt idx="207">
                  <c:v>1.1940133333333338</c:v>
                </c:pt>
                <c:pt idx="208">
                  <c:v>1.1940133333333338</c:v>
                </c:pt>
                <c:pt idx="209">
                  <c:v>1.1940133333333338</c:v>
                </c:pt>
                <c:pt idx="210">
                  <c:v>1.1940133333333338</c:v>
                </c:pt>
                <c:pt idx="211">
                  <c:v>1.1940133333333338</c:v>
                </c:pt>
                <c:pt idx="212">
                  <c:v>1.1940133333333338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C-4B8B-836F-4C9E3FA2E265}"/>
            </c:ext>
          </c:extLst>
        </c:ser>
        <c:ser>
          <c:idx val="1"/>
          <c:order val="1"/>
          <c:tx>
            <c:v>Wärmepumpen Maximalleistung</c:v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Leistungsdaten!$I$2:$I$214</c:f>
              <c:numCache>
                <c:formatCode>0.0</c:formatCode>
                <c:ptCount val="213"/>
                <c:pt idx="0">
                  <c:v>-25.426162982617701</c:v>
                </c:pt>
                <c:pt idx="1">
                  <c:v>-25.215545410933402</c:v>
                </c:pt>
                <c:pt idx="2">
                  <c:v>-25.004927839249099</c:v>
                </c:pt>
                <c:pt idx="3">
                  <c:v>-24.7943102675648</c:v>
                </c:pt>
                <c:pt idx="4">
                  <c:v>-24.583692695880501</c:v>
                </c:pt>
                <c:pt idx="5">
                  <c:v>-24.373075124196198</c:v>
                </c:pt>
                <c:pt idx="6">
                  <c:v>-24.162457552511899</c:v>
                </c:pt>
                <c:pt idx="7">
                  <c:v>-23.9518399808276</c:v>
                </c:pt>
                <c:pt idx="8">
                  <c:v>-23.741222409143301</c:v>
                </c:pt>
                <c:pt idx="9">
                  <c:v>-23.530604837458998</c:v>
                </c:pt>
                <c:pt idx="10">
                  <c:v>-23.319987265774699</c:v>
                </c:pt>
                <c:pt idx="11">
                  <c:v>-23.1093696940904</c:v>
                </c:pt>
                <c:pt idx="12">
                  <c:v>-22.898752122406101</c:v>
                </c:pt>
                <c:pt idx="13">
                  <c:v>-22.688134550721799</c:v>
                </c:pt>
                <c:pt idx="14">
                  <c:v>-22.4775169790375</c:v>
                </c:pt>
                <c:pt idx="15">
                  <c:v>-22.266899407353201</c:v>
                </c:pt>
                <c:pt idx="16">
                  <c:v>-22.056281835668901</c:v>
                </c:pt>
                <c:pt idx="17">
                  <c:v>-21.845664263984599</c:v>
                </c:pt>
                <c:pt idx="18">
                  <c:v>-21.6350466923003</c:v>
                </c:pt>
                <c:pt idx="19">
                  <c:v>-21.424429120616001</c:v>
                </c:pt>
                <c:pt idx="20">
                  <c:v>-21.213811548931702</c:v>
                </c:pt>
                <c:pt idx="21">
                  <c:v>-21.0030435033221</c:v>
                </c:pt>
                <c:pt idx="22">
                  <c:v>-20.792125052336601</c:v>
                </c:pt>
                <c:pt idx="23">
                  <c:v>-20.581056293481399</c:v>
                </c:pt>
                <c:pt idx="24">
                  <c:v>-20.369837352740799</c:v>
                </c:pt>
                <c:pt idx="25">
                  <c:v>-20.158468384085801</c:v>
                </c:pt>
                <c:pt idx="26">
                  <c:v>-19.9469495689697</c:v>
                </c:pt>
                <c:pt idx="27">
                  <c:v>-19.735281115815202</c:v>
                </c:pt>
                <c:pt idx="28">
                  <c:v>-19.523463259490999</c:v>
                </c:pt>
                <c:pt idx="29">
                  <c:v>-19.311496260782398</c:v>
                </c:pt>
                <c:pt idx="30">
                  <c:v>-19.0993804058552</c:v>
                </c:pt>
                <c:pt idx="31">
                  <c:v>-18.887116005715399</c:v>
                </c:pt>
                <c:pt idx="32">
                  <c:v>-18.6747033956654</c:v>
                </c:pt>
                <c:pt idx="33">
                  <c:v>-18.462142934757701</c:v>
                </c:pt>
                <c:pt idx="34">
                  <c:v>-18.249435005247701</c:v>
                </c:pt>
                <c:pt idx="35">
                  <c:v>-18.036580012046699</c:v>
                </c:pt>
                <c:pt idx="36">
                  <c:v>-17.823578382175</c:v>
                </c:pt>
                <c:pt idx="37">
                  <c:v>-17.610430564218099</c:v>
                </c:pt>
                <c:pt idx="38">
                  <c:v>-17.397137027784101</c:v>
                </c:pt>
                <c:pt idx="39">
                  <c:v>-17.183698262965802</c:v>
                </c:pt>
                <c:pt idx="40">
                  <c:v>-16.9701147798066</c:v>
                </c:pt>
                <c:pt idx="41">
                  <c:v>-16.7563871077713</c:v>
                </c:pt>
                <c:pt idx="42">
                  <c:v>-16.542515795222499</c:v>
                </c:pt>
                <c:pt idx="43">
                  <c:v>-16.3285014089032</c:v>
                </c:pt>
                <c:pt idx="44">
                  <c:v>-16.114344533426401</c:v>
                </c:pt>
                <c:pt idx="45">
                  <c:v>-15.9000457707713</c:v>
                </c:pt>
                <c:pt idx="46">
                  <c:v>-15.6856057397875</c:v>
                </c:pt>
                <c:pt idx="47">
                  <c:v>-15.4710250757074</c:v>
                </c:pt>
                <c:pt idx="48">
                  <c:v>-15.256304429666701</c:v>
                </c:pt>
                <c:pt idx="49">
                  <c:v>-15.0414444682336</c:v>
                </c:pt>
                <c:pt idx="50">
                  <c:v>-14.826445872947099</c:v>
                </c:pt>
                <c:pt idx="51">
                  <c:v>-14.6113093398645</c:v>
                </c:pt>
                <c:pt idx="52">
                  <c:v>-14.3960355791182</c:v>
                </c:pt>
                <c:pt idx="53">
                  <c:v>-14.180625314482301</c:v>
                </c:pt>
                <c:pt idx="54">
                  <c:v>-13.9650792829488</c:v>
                </c:pt>
                <c:pt idx="55">
                  <c:v>-13.7493982343134</c:v>
                </c:pt>
                <c:pt idx="56">
                  <c:v>-13.5335829307719</c:v>
                </c:pt>
                <c:pt idx="57">
                  <c:v>-13.317634146525601</c:v>
                </c:pt>
                <c:pt idx="58">
                  <c:v>-13.1015526673977</c:v>
                </c:pt>
                <c:pt idx="59">
                  <c:v>-12.8853392904589</c:v>
                </c:pt>
                <c:pt idx="60">
                  <c:v>-12.6689948236637</c:v>
                </c:pt>
                <c:pt idx="61">
                  <c:v>-12.4525200854959</c:v>
                </c:pt>
                <c:pt idx="62">
                  <c:v>-12.2359159046249</c:v>
                </c:pt>
                <c:pt idx="63">
                  <c:v>-12.019183119571199</c:v>
                </c:pt>
                <c:pt idx="64">
                  <c:v>-11.8023225783821</c:v>
                </c:pt>
                <c:pt idx="65">
                  <c:v>-11.5853351383166</c:v>
                </c:pt>
                <c:pt idx="66">
                  <c:v>-11.3682216655404</c:v>
                </c:pt>
                <c:pt idx="67">
                  <c:v>-11.150983034830301</c:v>
                </c:pt>
                <c:pt idx="68">
                  <c:v>-10.933620129287601</c:v>
                </c:pt>
                <c:pt idx="69">
                  <c:v>-10.716133840060801</c:v>
                </c:pt>
                <c:pt idx="70">
                  <c:v>-10.498525066078001</c:v>
                </c:pt>
                <c:pt idx="71">
                  <c:v>-10.280794713787101</c:v>
                </c:pt>
                <c:pt idx="72">
                  <c:v>-10.062943696905799</c:v>
                </c:pt>
                <c:pt idx="73">
                  <c:v>-9.8449729361791807</c:v>
                </c:pt>
                <c:pt idx="74">
                  <c:v>-9.6268833591470209</c:v>
                </c:pt>
                <c:pt idx="75">
                  <c:v>-9.4086758999179505</c:v>
                </c:pt>
                <c:pt idx="76">
                  <c:v>-9.1903514989525892</c:v>
                </c:pt>
                <c:pt idx="77">
                  <c:v>-8.9719111028542606</c:v>
                </c:pt>
                <c:pt idx="78">
                  <c:v>-8.7533556641674402</c:v>
                </c:pt>
                <c:pt idx="79">
                  <c:v>-8.5346861411838209</c:v>
                </c:pt>
                <c:pt idx="80">
                  <c:v>-8.3159034977555599</c:v>
                </c:pt>
                <c:pt idx="81">
                  <c:v>-8.09700870311584</c:v>
                </c:pt>
                <c:pt idx="82">
                  <c:v>-7.8780027317063501</c:v>
                </c:pt>
                <c:pt idx="83">
                  <c:v>-7.6588865630115501</c:v>
                </c:pt>
                <c:pt idx="84">
                  <c:v>-7.4396611813995097</c:v>
                </c:pt>
                <c:pt idx="85">
                  <c:v>-7.2203275759693</c:v>
                </c:pt>
                <c:pt idx="86">
                  <c:v>-7.0008867404044999</c:v>
                </c:pt>
                <c:pt idx="87">
                  <c:v>-6.7813396728328099</c:v>
                </c:pt>
                <c:pt idx="88">
                  <c:v>-6.5616873756915997</c:v>
                </c:pt>
                <c:pt idx="89">
                  <c:v>-6.3419308555991396</c:v>
                </c:pt>
                <c:pt idx="90">
                  <c:v>-6.1220711232313398</c:v>
                </c:pt>
                <c:pt idx="91">
                  <c:v>-5.9021091932039296</c:v>
                </c:pt>
                <c:pt idx="92">
                  <c:v>-5.6820460839597802</c:v>
                </c:pt>
                <c:pt idx="93">
                  <c:v>-5.4618828176612997</c:v>
                </c:pt>
                <c:pt idx="94">
                  <c:v>-5.2416204200877399</c:v>
                </c:pt>
                <c:pt idx="95">
                  <c:v>-5.0212599205370898</c:v>
                </c:pt>
                <c:pt idx="96">
                  <c:v>-4.8008023517326999</c:v>
                </c:pt>
                <c:pt idx="97">
                  <c:v>-4.5802487497342002</c:v>
                </c:pt>
                <c:pt idx="98">
                  <c:v>-4.3596001538527096</c:v>
                </c:pt>
                <c:pt idx="99">
                  <c:v>-4.1388576065702001</c:v>
                </c:pt>
                <c:pt idx="100">
                  <c:v>-3.91802215346272</c:v>
                </c:pt>
                <c:pt idx="101">
                  <c:v>-3.6970948431276001</c:v>
                </c:pt>
                <c:pt idx="102">
                  <c:v>-3.4760767271142199</c:v>
                </c:pt>
                <c:pt idx="103">
                  <c:v>-3.2549688598584199</c:v>
                </c:pt>
                <c:pt idx="104">
                  <c:v>-3.0337722986203199</c:v>
                </c:pt>
                <c:pt idx="105">
                  <c:v>-2.8124881034254101</c:v>
                </c:pt>
                <c:pt idx="106">
                  <c:v>-2.5911173370089</c:v>
                </c:pt>
                <c:pt idx="107">
                  <c:v>-2.36966106476306</c:v>
                </c:pt>
                <c:pt idx="108">
                  <c:v>-2.1481203546875598</c:v>
                </c:pt>
                <c:pt idx="109">
                  <c:v>-1.92649627734264</c:v>
                </c:pt>
                <c:pt idx="110">
                  <c:v>-1.7047899058049401</c:v>
                </c:pt>
                <c:pt idx="111">
                  <c:v>-1.4830023156260801</c:v>
                </c:pt>
                <c:pt idx="112">
                  <c:v>-1.2611345847936399</c:v>
                </c:pt>
                <c:pt idx="113">
                  <c:v>-1.0391877936946099</c:v>
                </c:pt>
                <c:pt idx="114">
                  <c:v>-0.817163025081168</c:v>
                </c:pt>
                <c:pt idx="115">
                  <c:v>-0.59506136403864396</c:v>
                </c:pt>
                <c:pt idx="116">
                  <c:v>-0.37288389795569299</c:v>
                </c:pt>
                <c:pt idx="117">
                  <c:v>-0.150631716496439</c:v>
                </c:pt>
                <c:pt idx="118">
                  <c:v>7.1694088425373406E-2</c:v>
                </c:pt>
                <c:pt idx="119">
                  <c:v>0.30607267901535401</c:v>
                </c:pt>
                <c:pt idx="120">
                  <c:v>0.51058467600942303</c:v>
                </c:pt>
                <c:pt idx="121">
                  <c:v>0.73013595822380495</c:v>
                </c:pt>
                <c:pt idx="122">
                  <c:v>0.933905232783107</c:v>
                </c:pt>
                <c:pt idx="123">
                  <c:v>1.15296879717588</c:v>
                </c:pt>
                <c:pt idx="124">
                  <c:v>1.37185063095899</c:v>
                </c:pt>
                <c:pt idx="125">
                  <c:v>1.57455909675985</c:v>
                </c:pt>
                <c:pt idx="126">
                  <c:v>1.79294344496271</c:v>
                </c:pt>
                <c:pt idx="127">
                  <c:v>1.99489519821474</c:v>
                </c:pt>
                <c:pt idx="128">
                  <c:v>2.21277589514002</c:v>
                </c:pt>
                <c:pt idx="129">
                  <c:v>2.4304667191618599</c:v>
                </c:pt>
                <c:pt idx="130">
                  <c:v>2.63133696759916</c:v>
                </c:pt>
                <c:pt idx="131">
                  <c:v>2.8485150935905201</c:v>
                </c:pt>
                <c:pt idx="132">
                  <c:v>3.0486160933740098</c:v>
                </c:pt>
                <c:pt idx="133">
                  <c:v>3.2652758541803601</c:v>
                </c:pt>
                <c:pt idx="134">
                  <c:v>3.4817381513994698</c:v>
                </c:pt>
                <c:pt idx="135">
                  <c:v>3.6807390835802298</c:v>
                </c:pt>
                <c:pt idx="136">
                  <c:v>3.8966746960786902</c:v>
                </c:pt>
                <c:pt idx="137">
                  <c:v>4.0948953144854103</c:v>
                </c:pt>
                <c:pt idx="138">
                  <c:v>4.3102990784238502</c:v>
                </c:pt>
                <c:pt idx="139">
                  <c:v>4.5254983440509697</c:v>
                </c:pt>
                <c:pt idx="140">
                  <c:v>4.7226024902164596</c:v>
                </c:pt>
                <c:pt idx="141">
                  <c:v>4.9372623219305201</c:v>
                </c:pt>
                <c:pt idx="142">
                  <c:v>5.1335765788745604</c:v>
                </c:pt>
                <c:pt idx="143">
                  <c:v>5.3476923214128202</c:v>
                </c:pt>
                <c:pt idx="144">
                  <c:v>5.5615970917301798</c:v>
                </c:pt>
                <c:pt idx="145">
                  <c:v>5.7752895968798299</c:v>
                </c:pt>
                <c:pt idx="146">
                  <c:v>5.9887685624631999</c:v>
                </c:pt>
                <c:pt idx="147">
                  <c:v>6.2020327326530102</c:v>
                </c:pt>
                <c:pt idx="148">
                  <c:v>6.41508087021655</c:v>
                </c:pt>
                <c:pt idx="149">
                  <c:v>6.6089033767638297</c:v>
                </c:pt>
                <c:pt idx="150">
                  <c:v>6.8405241916484298</c:v>
                </c:pt>
                <c:pt idx="151">
                  <c:v>7.05291699423762</c:v>
                </c:pt>
                <c:pt idx="152">
                  <c:v>7.2650890016906402</c:v>
                </c:pt>
                <c:pt idx="153">
                  <c:v>7.4770390701062404</c:v>
                </c:pt>
                <c:pt idx="154">
                  <c:v>7.6691377306825004</c:v>
                </c:pt>
                <c:pt idx="155">
                  <c:v>7.9002689079437403</c:v>
                </c:pt>
                <c:pt idx="156">
                  <c:v>8.1115464833617192</c:v>
                </c:pt>
                <c:pt idx="157">
                  <c:v>8.3225977317849296</c:v>
                </c:pt>
                <c:pt idx="158">
                  <c:v>8.5334216032621395</c:v>
                </c:pt>
                <c:pt idx="159">
                  <c:v>8.7440170667083805</c:v>
                </c:pt>
                <c:pt idx="160">
                  <c:v>8.9543831099308004</c:v>
                </c:pt>
                <c:pt idx="161">
                  <c:v>9.1645187396545396</c:v>
                </c:pt>
                <c:pt idx="162">
                  <c:v>9.3744229815487792</c:v>
                </c:pt>
                <c:pt idx="163">
                  <c:v>9.5840948802528505</c:v>
                </c:pt>
                <c:pt idx="164">
                  <c:v>9.7935334994024998</c:v>
                </c:pt>
                <c:pt idx="165">
                  <c:v>10.0027379216562</c:v>
                </c:pt>
                <c:pt idx="166">
                  <c:v>10.2117072487213</c:v>
                </c:pt>
                <c:pt idx="167">
                  <c:v>10.4204406013809</c:v>
                </c:pt>
                <c:pt idx="168">
                  <c:v>10.6289371195199</c:v>
                </c:pt>
                <c:pt idx="169">
                  <c:v>10.8371959621517</c:v>
                </c:pt>
                <c:pt idx="170">
                  <c:v>11.0452163074445</c:v>
                </c:pt>
                <c:pt idx="171">
                  <c:v>11.252997352748</c:v>
                </c:pt>
                <c:pt idx="172">
                  <c:v>11.460538314620001</c:v>
                </c:pt>
                <c:pt idx="173">
                  <c:v>11.667838428852599</c:v>
                </c:pt>
                <c:pt idx="174">
                  <c:v>11.874896950498799</c:v>
                </c:pt>
                <c:pt idx="175">
                  <c:v>12.0817131538989</c:v>
                </c:pt>
                <c:pt idx="176">
                  <c:v>12.288286332706599</c:v>
                </c:pt>
                <c:pt idx="177">
                  <c:v>12.494615799916</c:v>
                </c:pt>
                <c:pt idx="178">
                  <c:v>12.700700887886599</c:v>
                </c:pt>
                <c:pt idx="179">
                  <c:v>12.9065409483708</c:v>
                </c:pt>
                <c:pt idx="180">
                  <c:v>13.1121353525385</c:v>
                </c:pt>
                <c:pt idx="181">
                  <c:v>13.317483491003999</c:v>
                </c:pt>
                <c:pt idx="182">
                  <c:v>13.5225847738513</c:v>
                </c:pt>
                <c:pt idx="183">
                  <c:v>13.727438630659799</c:v>
                </c:pt>
                <c:pt idx="184">
                  <c:v>13.9320445105294</c:v>
                </c:pt>
                <c:pt idx="185">
                  <c:v>14.1364018821064</c:v>
                </c:pt>
                <c:pt idx="186">
                  <c:v>14.340510233607899</c:v>
                </c:pt>
                <c:pt idx="187">
                  <c:v>14.544369072847299</c:v>
                </c:pt>
                <c:pt idx="188">
                  <c:v>14.7479779272585</c:v>
                </c:pt>
                <c:pt idx="189">
                  <c:v>14.9513363439205</c:v>
                </c:pt>
                <c:pt idx="190">
                  <c:v>15.1544438895817</c:v>
                </c:pt>
                <c:pt idx="191">
                  <c:v>15.3573001506841</c:v>
                </c:pt>
                <c:pt idx="192">
                  <c:v>15.5599047333864</c:v>
                </c:pt>
                <c:pt idx="193">
                  <c:v>15.7622572635882</c:v>
                </c:pt>
                <c:pt idx="194">
                  <c:v>15.9643573869524</c:v>
                </c:pt>
                <c:pt idx="195">
                  <c:v>16.166204768928999</c:v>
                </c:pt>
                <c:pt idx="196">
                  <c:v>16.392367001013199</c:v>
                </c:pt>
                <c:pt idx="197">
                  <c:v>16.6185084768547</c:v>
                </c:pt>
                <c:pt idx="198">
                  <c:v>16.819813803381901</c:v>
                </c:pt>
                <c:pt idx="199">
                  <c:v>17.045787296819899</c:v>
                </c:pt>
                <c:pt idx="200">
                  <c:v>17.271736628516699</c:v>
                </c:pt>
                <c:pt idx="201">
                  <c:v>17.472492607986499</c:v>
                </c:pt>
                <c:pt idx="202">
                  <c:v>17.698267796420001</c:v>
                </c:pt>
                <c:pt idx="203">
                  <c:v>17.9240154135605</c:v>
                </c:pt>
                <c:pt idx="204">
                  <c:v>18.124214970158899</c:v>
                </c:pt>
                <c:pt idx="205">
                  <c:v>18.3497823331933</c:v>
                </c:pt>
                <c:pt idx="206">
                  <c:v>18.575318711311802</c:v>
                </c:pt>
                <c:pt idx="207">
                  <c:v>18.774954985064198</c:v>
                </c:pt>
                <c:pt idx="208">
                  <c:v>19.000305048220898</c:v>
                </c:pt>
                <c:pt idx="209">
                  <c:v>19.225620708749702</c:v>
                </c:pt>
                <c:pt idx="210">
                  <c:v>19.424687055556898</c:v>
                </c:pt>
                <c:pt idx="211">
                  <c:v>19.649810390223799</c:v>
                </c:pt>
                <c:pt idx="212">
                  <c:v>19.874895900441999</c:v>
                </c:pt>
              </c:numCache>
            </c:numRef>
          </c:xVal>
          <c:yVal>
            <c:numRef>
              <c:f>Leistungsdaten!$J$2:$J$214</c:f>
              <c:numCache>
                <c:formatCode>0.0</c:formatCode>
                <c:ptCount val="213"/>
                <c:pt idx="0">
                  <c:v>5.15651001385279</c:v>
                </c:pt>
                <c:pt idx="1">
                  <c:v>5.1907939117668898</c:v>
                </c:pt>
                <c:pt idx="2">
                  <c:v>5.2250778096809896</c:v>
                </c:pt>
                <c:pt idx="3">
                  <c:v>5.2593617075950903</c:v>
                </c:pt>
                <c:pt idx="4">
                  <c:v>5.2936456055091901</c:v>
                </c:pt>
                <c:pt idx="5">
                  <c:v>5.3279295034232899</c:v>
                </c:pt>
                <c:pt idx="6">
                  <c:v>5.3622134013373897</c:v>
                </c:pt>
                <c:pt idx="7">
                  <c:v>5.3964972992514904</c:v>
                </c:pt>
                <c:pt idx="8">
                  <c:v>5.4307811971655902</c:v>
                </c:pt>
                <c:pt idx="9">
                  <c:v>5.46506509507969</c:v>
                </c:pt>
                <c:pt idx="10">
                  <c:v>5.4993489929937898</c:v>
                </c:pt>
                <c:pt idx="11">
                  <c:v>5.5336328909078896</c:v>
                </c:pt>
                <c:pt idx="12">
                  <c:v>5.5679167888219903</c:v>
                </c:pt>
                <c:pt idx="13">
                  <c:v>5.6022006867360901</c:v>
                </c:pt>
                <c:pt idx="14">
                  <c:v>5.6364845846501899</c:v>
                </c:pt>
                <c:pt idx="15">
                  <c:v>5.6707684825642897</c:v>
                </c:pt>
                <c:pt idx="16">
                  <c:v>5.7050523804783904</c:v>
                </c:pt>
                <c:pt idx="17">
                  <c:v>5.7393362783924902</c:v>
                </c:pt>
                <c:pt idx="18">
                  <c:v>5.77362017630659</c:v>
                </c:pt>
                <c:pt idx="19">
                  <c:v>5.8079040742206898</c:v>
                </c:pt>
                <c:pt idx="20">
                  <c:v>5.8421879721347896</c:v>
                </c:pt>
                <c:pt idx="21">
                  <c:v>5.8766958690341404</c:v>
                </c:pt>
                <c:pt idx="22">
                  <c:v>5.9114249693919598</c:v>
                </c:pt>
                <c:pt idx="23">
                  <c:v>5.9463724451053004</c:v>
                </c:pt>
                <c:pt idx="24">
                  <c:v>5.9815354349909002</c:v>
                </c:pt>
                <c:pt idx="25">
                  <c:v>6.0169110442717599</c:v>
                </c:pt>
                <c:pt idx="26">
                  <c:v>6.0524963440538997</c:v>
                </c:pt>
                <c:pt idx="27">
                  <c:v>6.0882883707933901</c:v>
                </c:pt>
                <c:pt idx="28">
                  <c:v>6.12428412575332</c:v>
                </c:pt>
                <c:pt idx="29">
                  <c:v>6.1604805744507098</c:v>
                </c:pt>
                <c:pt idx="30">
                  <c:v>6.1968746460929998</c:v>
                </c:pt>
                <c:pt idx="31">
                  <c:v>6.2334632330040902</c:v>
                </c:pt>
                <c:pt idx="32">
                  <c:v>6.27024319003971</c:v>
                </c:pt>
                <c:pt idx="33">
                  <c:v>6.3072113339918898</c:v>
                </c:pt>
                <c:pt idx="34">
                  <c:v>6.3443644429824699</c:v>
                </c:pt>
                <c:pt idx="35">
                  <c:v>6.3816992558452803</c:v>
                </c:pt>
                <c:pt idx="36">
                  <c:v>6.4192124714970697</c:v>
                </c:pt>
                <c:pt idx="37">
                  <c:v>6.4569007482966896</c:v>
                </c:pt>
                <c:pt idx="38">
                  <c:v>6.4947607033926298</c:v>
                </c:pt>
                <c:pt idx="39">
                  <c:v>6.5327889120584697</c:v>
                </c:pt>
                <c:pt idx="40">
                  <c:v>6.5709819070162796</c:v>
                </c:pt>
                <c:pt idx="41">
                  <c:v>6.6093361777475401</c:v>
                </c:pt>
                <c:pt idx="42">
                  <c:v>6.6478481697916001</c:v>
                </c:pt>
                <c:pt idx="43">
                  <c:v>6.6865142840312899</c:v>
                </c:pt>
                <c:pt idx="44">
                  <c:v>6.7253308759656596</c:v>
                </c:pt>
                <c:pt idx="45">
                  <c:v>6.7642942549694203</c:v>
                </c:pt>
                <c:pt idx="46">
                  <c:v>6.8034006835390999</c:v>
                </c:pt>
                <c:pt idx="47">
                  <c:v>6.8426463765256003</c:v>
                </c:pt>
                <c:pt idx="48">
                  <c:v>6.8820275003528497</c:v>
                </c:pt>
                <c:pt idx="49">
                  <c:v>6.9215401722225298</c:v>
                </c:pt>
                <c:pt idx="50">
                  <c:v>6.9611804593045301</c:v>
                </c:pt>
                <c:pt idx="51">
                  <c:v>7.0009443779128899</c:v>
                </c:pt>
                <c:pt idx="52">
                  <c:v>7.0408278926671004</c:v>
                </c:pt>
                <c:pt idx="53">
                  <c:v>7.08082691563847</c:v>
                </c:pt>
                <c:pt idx="54">
                  <c:v>7.1209373054813296</c:v>
                </c:pt>
                <c:pt idx="55">
                  <c:v>7.1611548665488796</c:v>
                </c:pt>
                <c:pt idx="56">
                  <c:v>7.20147534799339</c:v>
                </c:pt>
                <c:pt idx="57">
                  <c:v>7.2418944428505903</c:v>
                </c:pt>
                <c:pt idx="58">
                  <c:v>7.28240778710793</c:v>
                </c:pt>
                <c:pt idx="59">
                  <c:v>7.3230109587565302</c:v>
                </c:pt>
                <c:pt idx="60">
                  <c:v>7.36369947682656</c:v>
                </c:pt>
                <c:pt idx="61">
                  <c:v>7.4044688004057502</c:v>
                </c:pt>
                <c:pt idx="62">
                  <c:v>7.4453143276408902</c:v>
                </c:pt>
                <c:pt idx="63">
                  <c:v>7.4862313947219699</c:v>
                </c:pt>
                <c:pt idx="64">
                  <c:v>7.5272152748487198</c:v>
                </c:pt>
                <c:pt idx="65">
                  <c:v>7.5682611771793704</c:v>
                </c:pt>
                <c:pt idx="66">
                  <c:v>7.6093642457612498</c:v>
                </c:pt>
                <c:pt idx="67">
                  <c:v>7.6505195584430696</c:v>
                </c:pt>
                <c:pt idx="68">
                  <c:v>7.6917221257685897</c:v>
                </c:pt>
                <c:pt idx="69">
                  <c:v>7.7329668898513502</c:v>
                </c:pt>
                <c:pt idx="70">
                  <c:v>7.7742487232303201</c:v>
                </c:pt>
                <c:pt idx="71">
                  <c:v>7.8155624277060296</c:v>
                </c:pt>
                <c:pt idx="72">
                  <c:v>7.85690273315707</c:v>
                </c:pt>
                <c:pt idx="73">
                  <c:v>7.8982642963365901</c:v>
                </c:pt>
                <c:pt idx="74">
                  <c:v>7.9396416996485604</c:v>
                </c:pt>
                <c:pt idx="75">
                  <c:v>7.9810294499034198</c:v>
                </c:pt>
                <c:pt idx="76">
                  <c:v>8.0224219770530496</c:v>
                </c:pt>
                <c:pt idx="77">
                  <c:v>8.0638136329045</c:v>
                </c:pt>
                <c:pt idx="78">
                  <c:v>8.1051986898124309</c:v>
                </c:pt>
                <c:pt idx="79">
                  <c:v>8.1465713393498191</c:v>
                </c:pt>
                <c:pt idx="80">
                  <c:v>8.1879256909567193</c:v>
                </c:pt>
                <c:pt idx="81">
                  <c:v>8.2292557705667804</c:v>
                </c:pt>
                <c:pt idx="82">
                  <c:v>8.2705555192111699</c:v>
                </c:pt>
                <c:pt idx="83">
                  <c:v>8.3118187915997002</c:v>
                </c:pt>
                <c:pt idx="84">
                  <c:v>8.3530393546787494</c:v>
                </c:pt>
                <c:pt idx="85">
                  <c:v>8.3942108861658298</c:v>
                </c:pt>
                <c:pt idx="86">
                  <c:v>8.4353269730602403</c:v>
                </c:pt>
                <c:pt idx="87">
                  <c:v>8.4763811101298803</c:v>
                </c:pt>
                <c:pt idx="88">
                  <c:v>8.5173666983735501</c:v>
                </c:pt>
                <c:pt idx="89">
                  <c:v>8.5582770434587001</c:v>
                </c:pt>
                <c:pt idx="90">
                  <c:v>8.5991053541340801</c:v>
                </c:pt>
                <c:pt idx="91">
                  <c:v>8.6398447406172796</c:v>
                </c:pt>
                <c:pt idx="92">
                  <c:v>8.6804882129565595</c:v>
                </c:pt>
                <c:pt idx="93">
                  <c:v>8.7210286793668708</c:v>
                </c:pt>
                <c:pt idx="94">
                  <c:v>8.7614589445395694</c:v>
                </c:pt>
                <c:pt idx="95">
                  <c:v>8.8017717079258002</c:v>
                </c:pt>
                <c:pt idx="96">
                  <c:v>8.8419595619928</c:v>
                </c:pt>
                <c:pt idx="97">
                  <c:v>8.8820149904532997</c:v>
                </c:pt>
                <c:pt idx="98">
                  <c:v>8.9219303664673095</c:v>
                </c:pt>
                <c:pt idx="99">
                  <c:v>8.9616979508162302</c:v>
                </c:pt>
                <c:pt idx="100">
                  <c:v>9.0013098900488107</c:v>
                </c:pt>
                <c:pt idx="101">
                  <c:v>9.0407582145987799</c:v>
                </c:pt>
                <c:pt idx="102">
                  <c:v>9.0800348368736898</c:v>
                </c:pt>
                <c:pt idx="103">
                  <c:v>9.11913154931481</c:v>
                </c:pt>
                <c:pt idx="104">
                  <c:v>9.1580400224276204</c:v>
                </c:pt>
                <c:pt idx="105">
                  <c:v>9.1967518027826998</c:v>
                </c:pt>
                <c:pt idx="106">
                  <c:v>9.2352583109866</c:v>
                </c:pt>
                <c:pt idx="107">
                  <c:v>9.2735508396224606</c:v>
                </c:pt>
                <c:pt idx="108">
                  <c:v>9.31162055116007</c:v>
                </c:pt>
                <c:pt idx="109">
                  <c:v>9.3494584758349699</c:v>
                </c:pt>
                <c:pt idx="110">
                  <c:v>9.3870555094963493</c:v>
                </c:pt>
                <c:pt idx="111">
                  <c:v>9.4244024114235305</c:v>
                </c:pt>
                <c:pt idx="112">
                  <c:v>9.4614898021104707</c:v>
                </c:pt>
                <c:pt idx="113">
                  <c:v>9.4983081610182403</c:v>
                </c:pt>
                <c:pt idx="114">
                  <c:v>9.5348478242950705</c:v>
                </c:pt>
                <c:pt idx="115">
                  <c:v>9.5710989824636101</c:v>
                </c:pt>
                <c:pt idx="116">
                  <c:v>9.6070516780752708</c:v>
                </c:pt>
                <c:pt idx="117">
                  <c:v>9.6426958033311099</c:v>
                </c:pt>
                <c:pt idx="118">
                  <c:v>9.7003726411231508</c:v>
                </c:pt>
                <c:pt idx="119">
                  <c:v>9.8043436740534506</c:v>
                </c:pt>
                <c:pt idx="120">
                  <c:v>9.8480932222774893</c:v>
                </c:pt>
                <c:pt idx="121">
                  <c:v>9.9246145041422391</c:v>
                </c:pt>
                <c:pt idx="122">
                  <c:v>9.9708110952853293</c:v>
                </c:pt>
                <c:pt idx="123">
                  <c:v>10.050698049504399</c:v>
                </c:pt>
                <c:pt idx="124">
                  <c:v>10.1325589163408</c:v>
                </c:pt>
                <c:pt idx="125">
                  <c:v>10.182859544579101</c:v>
                </c:pt>
                <c:pt idx="126">
                  <c:v>10.2683300865096</c:v>
                </c:pt>
                <c:pt idx="127">
                  <c:v>10.3213675436527</c:v>
                </c:pt>
                <c:pt idx="128">
                  <c:v>10.4106065336625</c:v>
                </c:pt>
                <c:pt idx="129">
                  <c:v>10.5020546633815</c:v>
                </c:pt>
                <c:pt idx="130">
                  <c:v>10.5596623427514</c:v>
                </c:pt>
                <c:pt idx="131">
                  <c:v>10.6551352788985</c:v>
                </c:pt>
                <c:pt idx="132">
                  <c:v>10.715774063855401</c:v>
                </c:pt>
                <c:pt idx="133">
                  <c:v>10.7535754846953</c:v>
                </c:pt>
                <c:pt idx="134">
                  <c:v>10.771037106169899</c:v>
                </c:pt>
                <c:pt idx="135">
                  <c:v>10.7532279706646</c:v>
                </c:pt>
                <c:pt idx="136">
                  <c:v>10.769856036541</c:v>
                </c:pt>
                <c:pt idx="137">
                  <c:v>10.7508723461393</c:v>
                </c:pt>
                <c:pt idx="138">
                  <c:v>10.7666613125343</c:v>
                </c:pt>
                <c:pt idx="139">
                  <c:v>10.782116711556601</c:v>
                </c:pt>
                <c:pt idx="140">
                  <c:v>10.761444692351599</c:v>
                </c:pt>
                <c:pt idx="141">
                  <c:v>10.776052766335599</c:v>
                </c:pt>
                <c:pt idx="142">
                  <c:v>10.7541986254704</c:v>
                </c:pt>
                <c:pt idx="143">
                  <c:v>10.767954602127</c:v>
                </c:pt>
                <c:pt idx="144">
                  <c:v>10.7813695843203</c:v>
                </c:pt>
                <c:pt idx="145">
                  <c:v>10.7944420210105</c:v>
                </c:pt>
                <c:pt idx="146">
                  <c:v>10.8071703892985</c:v>
                </c:pt>
                <c:pt idx="147">
                  <c:v>10.819553194460999</c:v>
                </c:pt>
                <c:pt idx="148">
                  <c:v>10.8315889699858</c:v>
                </c:pt>
                <c:pt idx="149">
                  <c:v>10.805962255508099</c:v>
                </c:pt>
                <c:pt idx="150">
                  <c:v>10.8546137073425</c:v>
                </c:pt>
                <c:pt idx="151">
                  <c:v>10.865599877528799</c:v>
                </c:pt>
                <c:pt idx="152">
                  <c:v>10.876233434859101</c:v>
                </c:pt>
                <c:pt idx="153">
                  <c:v>10.8865130544204</c:v>
                </c:pt>
                <c:pt idx="154">
                  <c:v>10.8582742419203</c:v>
                </c:pt>
                <c:pt idx="155">
                  <c:v>10.9060053227771</c:v>
                </c:pt>
                <c:pt idx="156">
                  <c:v>10.9152154640541</c:v>
                </c:pt>
                <c:pt idx="157">
                  <c:v>10.924066652601599</c:v>
                </c:pt>
                <c:pt idx="158">
                  <c:v>10.932557706044101</c:v>
                </c:pt>
                <c:pt idx="159">
                  <c:v>10.9406874706292</c:v>
                </c:pt>
                <c:pt idx="160">
                  <c:v>10.9484548212671</c:v>
                </c:pt>
                <c:pt idx="161">
                  <c:v>10.955858661569501</c:v>
                </c:pt>
                <c:pt idx="162">
                  <c:v>10.962897923889299</c:v>
                </c:pt>
                <c:pt idx="163">
                  <c:v>10.9695715693606</c:v>
                </c:pt>
                <c:pt idx="164">
                  <c:v>10.9758785879377</c:v>
                </c:pt>
                <c:pt idx="165">
                  <c:v>10.981817998435799</c:v>
                </c:pt>
                <c:pt idx="166">
                  <c:v>10.987388848570401</c:v>
                </c:pt>
                <c:pt idx="167">
                  <c:v>10.992590214997801</c:v>
                </c:pt>
                <c:pt idx="168">
                  <c:v>10.997421203355</c:v>
                </c:pt>
                <c:pt idx="169">
                  <c:v>11.0018809483</c:v>
                </c:pt>
                <c:pt idx="170">
                  <c:v>11.005968613552101</c:v>
                </c:pt>
                <c:pt idx="171">
                  <c:v>11.0096833919317</c:v>
                </c:pt>
                <c:pt idx="172">
                  <c:v>11.0130245054012</c:v>
                </c:pt>
                <c:pt idx="173">
                  <c:v>11.0159912051046</c:v>
                </c:pt>
                <c:pt idx="174">
                  <c:v>11.018582771407701</c:v>
                </c:pt>
                <c:pt idx="175">
                  <c:v>11.0207985139384</c:v>
                </c:pt>
                <c:pt idx="176">
                  <c:v>11.022637771626499</c:v>
                </c:pt>
                <c:pt idx="177">
                  <c:v>11.024099912743701</c:v>
                </c:pt>
                <c:pt idx="178">
                  <c:v>11.0251843349429</c:v>
                </c:pt>
                <c:pt idx="179">
                  <c:v>11.0258904652986</c:v>
                </c:pt>
                <c:pt idx="180">
                  <c:v>11.0262177603453</c:v>
                </c:pt>
                <c:pt idx="181">
                  <c:v>11.0261657061177</c:v>
                </c:pt>
                <c:pt idx="182">
                  <c:v>11.025733818189</c:v>
                </c:pt>
                <c:pt idx="183">
                  <c:v>11.0249216417103</c:v>
                </c:pt>
                <c:pt idx="184">
                  <c:v>11.0237287514489</c:v>
                </c:pt>
                <c:pt idx="185">
                  <c:v>11.022154751826299</c:v>
                </c:pt>
                <c:pt idx="186">
                  <c:v>11.020199276956999</c:v>
                </c:pt>
                <c:pt idx="187">
                  <c:v>11.0178619906858</c:v>
                </c:pt>
                <c:pt idx="188">
                  <c:v>11.015142586625</c:v>
                </c:pt>
                <c:pt idx="189">
                  <c:v>11.0120407881922</c:v>
                </c:pt>
                <c:pt idx="190">
                  <c:v>11.008556348646399</c:v>
                </c:pt>
                <c:pt idx="191">
                  <c:v>11.0046890511246</c:v>
                </c:pt>
                <c:pt idx="192">
                  <c:v>11.0004387086782</c:v>
                </c:pt>
                <c:pt idx="193">
                  <c:v>10.9958051643079</c:v>
                </c:pt>
                <c:pt idx="194">
                  <c:v>10.9907882909993</c:v>
                </c:pt>
                <c:pt idx="195">
                  <c:v>10.985387991757699</c:v>
                </c:pt>
                <c:pt idx="196">
                  <c:v>11.0243340202396</c:v>
                </c:pt>
                <c:pt idx="197">
                  <c:v>11.063206481287899</c:v>
                </c:pt>
                <c:pt idx="198">
                  <c:v>11.056933925766099</c:v>
                </c:pt>
                <c:pt idx="199">
                  <c:v>11.0954841401945</c:v>
                </c:pt>
                <c:pt idx="200">
                  <c:v>11.1339552332119</c:v>
                </c:pt>
                <c:pt idx="201">
                  <c:v>11.1268008584663</c:v>
                </c:pt>
                <c:pt idx="202">
                  <c:v>11.1649402755179</c:v>
                </c:pt>
                <c:pt idx="203">
                  <c:v>11.202995011032</c:v>
                </c:pt>
                <c:pt idx="204">
                  <c:v>11.1949495815134</c:v>
                </c:pt>
                <c:pt idx="205">
                  <c:v>11.2326632875995</c:v>
                </c:pt>
                <c:pt idx="206">
                  <c:v>11.270286745845301</c:v>
                </c:pt>
                <c:pt idx="207">
                  <c:v>11.2613413534686</c:v>
                </c:pt>
                <c:pt idx="208">
                  <c:v>11.298614504663</c:v>
                </c:pt>
                <c:pt idx="209">
                  <c:v>11.335791835509999</c:v>
                </c:pt>
                <c:pt idx="210">
                  <c:v>11.325937899708499</c:v>
                </c:pt>
                <c:pt idx="211">
                  <c:v>11.362755721671499</c:v>
                </c:pt>
                <c:pt idx="212">
                  <c:v>11.3994721445466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C-4B8B-836F-4C9E3FA2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97112"/>
        <c:axId val="540298752"/>
      </c:scatterChart>
      <c:valAx>
        <c:axId val="540297112"/>
        <c:scaling>
          <c:orientation val="minMax"/>
          <c:max val="20"/>
          <c:min val="-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Tagesmitteltemperatur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8752"/>
        <c:crosses val="autoZero"/>
        <c:crossBetween val="midCat"/>
      </c:val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Heizleistung in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Energiekosten EU-L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'Planungstool Heizlast'!$B$60</c:f>
              <c:numCache>
                <c:formatCode>0</c:formatCode>
                <c:ptCount val="1"/>
                <c:pt idx="0">
                  <c:v>722.03484298100511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2-412F-855C-0B31872DF740}"/>
            </c:ext>
          </c:extLst>
        </c:ser>
        <c:ser>
          <c:idx val="2"/>
          <c:order val="1"/>
          <c:tx>
            <c:v>Energiekosten Peletts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profile'!$B$63</c:f>
              <c:numCache>
                <c:formatCode>0</c:formatCode>
                <c:ptCount val="1"/>
                <c:pt idx="0">
                  <c:v>1158.8235294117646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2-412F-855C-0B31872DF740}"/>
            </c:ext>
          </c:extLst>
        </c:ser>
        <c:ser>
          <c:idx val="3"/>
          <c:order val="2"/>
          <c:tx>
            <c:v>Energiekosten Erdgas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profile'!$B$62</c:f>
              <c:numCache>
                <c:formatCode>0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2-412F-855C-0B31872DF740}"/>
            </c:ext>
          </c:extLst>
        </c:ser>
        <c:ser>
          <c:idx val="1"/>
          <c:order val="3"/>
          <c:tx>
            <c:v>Energiekosten Öl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profile'!$B$61</c:f>
              <c:numCache>
                <c:formatCode>0</c:formatCode>
                <c:ptCount val="1"/>
                <c:pt idx="0">
                  <c:v>1794.1176470588236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F2-412F-855C-0B31872DF7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40297112"/>
        <c:axId val="540298752"/>
      </c:barChart>
      <c:catAx>
        <c:axId val="540297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40298752"/>
        <c:crosses val="autoZero"/>
        <c:auto val="1"/>
        <c:lblAlgn val="ctr"/>
        <c:lblOffset val="100"/>
        <c:noMultiLvlLbl val="0"/>
      </c:cat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Energiekosten in €/ 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234562784915045E-2"/>
          <c:y val="0.92093727843585382"/>
          <c:w val="0.9"/>
          <c:h val="5.3635635360567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Stunden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profile'!$C$1</c:f>
              <c:strCache>
                <c:ptCount val="1"/>
                <c:pt idx="0">
                  <c:v>h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profile'!$C$2:$C$39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22</c:v>
                </c:pt>
                <c:pt idx="26">
                  <c:v>63</c:v>
                </c:pt>
                <c:pt idx="27">
                  <c:v>63</c:v>
                </c:pt>
                <c:pt idx="28">
                  <c:v>175</c:v>
                </c:pt>
                <c:pt idx="29">
                  <c:v>162</c:v>
                </c:pt>
                <c:pt idx="30">
                  <c:v>259</c:v>
                </c:pt>
                <c:pt idx="31">
                  <c:v>360</c:v>
                </c:pt>
                <c:pt idx="32">
                  <c:v>428</c:v>
                </c:pt>
                <c:pt idx="33">
                  <c:v>430</c:v>
                </c:pt>
                <c:pt idx="34">
                  <c:v>503</c:v>
                </c:pt>
                <c:pt idx="35">
                  <c:v>444</c:v>
                </c:pt>
                <c:pt idx="36">
                  <c:v>384</c:v>
                </c:pt>
                <c:pt idx="37">
                  <c:v>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02-470D-A95D-8C2CFEB5BB43}"/>
            </c:ext>
          </c:extLst>
        </c:ser>
        <c:ser>
          <c:idx val="1"/>
          <c:order val="1"/>
          <c:tx>
            <c:strRef>
              <c:f>'Temperaturstunden profile'!$D$1</c:f>
              <c:strCache>
                <c:ptCount val="1"/>
                <c:pt idx="0">
                  <c:v>h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profile'!$D$2:$D$39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25</c:v>
                </c:pt>
                <c:pt idx="14">
                  <c:v>23</c:v>
                </c:pt>
                <c:pt idx="15">
                  <c:v>24</c:v>
                </c:pt>
                <c:pt idx="16">
                  <c:v>27</c:v>
                </c:pt>
                <c:pt idx="17">
                  <c:v>68</c:v>
                </c:pt>
                <c:pt idx="18">
                  <c:v>91</c:v>
                </c:pt>
                <c:pt idx="19">
                  <c:v>89</c:v>
                </c:pt>
                <c:pt idx="20">
                  <c:v>165</c:v>
                </c:pt>
                <c:pt idx="21">
                  <c:v>173</c:v>
                </c:pt>
                <c:pt idx="22">
                  <c:v>240</c:v>
                </c:pt>
                <c:pt idx="23">
                  <c:v>280</c:v>
                </c:pt>
                <c:pt idx="24">
                  <c:v>320</c:v>
                </c:pt>
                <c:pt idx="25">
                  <c:v>357</c:v>
                </c:pt>
                <c:pt idx="26">
                  <c:v>356</c:v>
                </c:pt>
                <c:pt idx="27">
                  <c:v>303</c:v>
                </c:pt>
                <c:pt idx="28">
                  <c:v>330</c:v>
                </c:pt>
                <c:pt idx="29">
                  <c:v>326</c:v>
                </c:pt>
                <c:pt idx="30">
                  <c:v>348</c:v>
                </c:pt>
                <c:pt idx="31">
                  <c:v>335</c:v>
                </c:pt>
                <c:pt idx="32">
                  <c:v>315</c:v>
                </c:pt>
                <c:pt idx="33">
                  <c:v>215</c:v>
                </c:pt>
                <c:pt idx="34">
                  <c:v>169</c:v>
                </c:pt>
                <c:pt idx="35">
                  <c:v>151</c:v>
                </c:pt>
                <c:pt idx="36">
                  <c:v>105</c:v>
                </c:pt>
                <c:pt idx="37">
                  <c:v>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02-470D-A95D-8C2CFEB5BB43}"/>
            </c:ext>
          </c:extLst>
        </c:ser>
        <c:ser>
          <c:idx val="2"/>
          <c:order val="2"/>
          <c:tx>
            <c:strRef>
              <c:f>'Temperaturstunden profile'!$E$1</c:f>
              <c:strCache>
                <c:ptCount val="1"/>
                <c:pt idx="0">
                  <c:v>h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profile'!$E$2:$E$39</c:f>
              <c:numCache>
                <c:formatCode>0</c:formatCode>
                <c:ptCount val="38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26</c:v>
                </c:pt>
                <c:pt idx="6">
                  <c:v>39</c:v>
                </c:pt>
                <c:pt idx="7">
                  <c:v>41</c:v>
                </c:pt>
                <c:pt idx="8">
                  <c:v>35</c:v>
                </c:pt>
                <c:pt idx="9">
                  <c:v>52</c:v>
                </c:pt>
                <c:pt idx="10">
                  <c:v>37</c:v>
                </c:pt>
                <c:pt idx="11">
                  <c:v>41</c:v>
                </c:pt>
                <c:pt idx="12">
                  <c:v>43</c:v>
                </c:pt>
                <c:pt idx="13">
                  <c:v>54</c:v>
                </c:pt>
                <c:pt idx="14">
                  <c:v>90</c:v>
                </c:pt>
                <c:pt idx="15">
                  <c:v>125</c:v>
                </c:pt>
                <c:pt idx="16">
                  <c:v>169</c:v>
                </c:pt>
                <c:pt idx="17">
                  <c:v>195</c:v>
                </c:pt>
                <c:pt idx="18">
                  <c:v>278</c:v>
                </c:pt>
                <c:pt idx="19">
                  <c:v>306</c:v>
                </c:pt>
                <c:pt idx="20">
                  <c:v>454</c:v>
                </c:pt>
                <c:pt idx="21">
                  <c:v>385</c:v>
                </c:pt>
                <c:pt idx="22">
                  <c:v>490</c:v>
                </c:pt>
                <c:pt idx="23">
                  <c:v>533</c:v>
                </c:pt>
                <c:pt idx="24">
                  <c:v>380</c:v>
                </c:pt>
                <c:pt idx="25">
                  <c:v>228</c:v>
                </c:pt>
                <c:pt idx="26">
                  <c:v>261</c:v>
                </c:pt>
                <c:pt idx="27">
                  <c:v>279</c:v>
                </c:pt>
                <c:pt idx="28">
                  <c:v>229</c:v>
                </c:pt>
                <c:pt idx="29">
                  <c:v>269</c:v>
                </c:pt>
                <c:pt idx="30">
                  <c:v>233</c:v>
                </c:pt>
                <c:pt idx="31">
                  <c:v>230</c:v>
                </c:pt>
                <c:pt idx="32">
                  <c:v>243</c:v>
                </c:pt>
                <c:pt idx="33">
                  <c:v>191</c:v>
                </c:pt>
                <c:pt idx="34">
                  <c:v>146</c:v>
                </c:pt>
                <c:pt idx="35">
                  <c:v>150</c:v>
                </c:pt>
                <c:pt idx="36">
                  <c:v>97</c:v>
                </c:pt>
                <c:pt idx="37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02-470D-A95D-8C2CFEB5B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050128"/>
        <c:axId val="378767896"/>
      </c:scatterChart>
      <c:valAx>
        <c:axId val="74905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7896"/>
        <c:crosses val="autoZero"/>
        <c:crossBetween val="midCat"/>
      </c:valAx>
      <c:valAx>
        <c:axId val="3787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905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Wärme</a:t>
            </a:r>
            <a:r>
              <a:rPr lang="de-AT" baseline="0"/>
              <a:t>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profile'!$F$1</c:f>
              <c:strCache>
                <c:ptCount val="1"/>
                <c:pt idx="0">
                  <c:v>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profile'!$F$2:$F$39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3.078727459316816E-2</c:v>
                </c:pt>
                <c:pt idx="25">
                  <c:v>0.20964667937252604</c:v>
                </c:pt>
                <c:pt idx="26">
                  <c:v>0.55417094267702682</c:v>
                </c:pt>
                <c:pt idx="27">
                  <c:v>0.50799003078727456</c:v>
                </c:pt>
                <c:pt idx="28">
                  <c:v>1.2828031080486733</c:v>
                </c:pt>
                <c:pt idx="29">
                  <c:v>1.0687582465914089</c:v>
                </c:pt>
                <c:pt idx="30">
                  <c:v>1.5188388799296293</c:v>
                </c:pt>
                <c:pt idx="31">
                  <c:v>1.8472364755900896</c:v>
                </c:pt>
                <c:pt idx="32">
                  <c:v>1.8824219322679958</c:v>
                </c:pt>
                <c:pt idx="33">
                  <c:v>1.576015247031227</c:v>
                </c:pt>
                <c:pt idx="34">
                  <c:v>1.4748570590822461</c:v>
                </c:pt>
                <c:pt idx="35">
                  <c:v>0.97639642281190431</c:v>
                </c:pt>
                <c:pt idx="36">
                  <c:v>0.56296730684650353</c:v>
                </c:pt>
                <c:pt idx="37">
                  <c:v>0.21551092215217713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3-401C-AB9D-542132853EFE}"/>
            </c:ext>
          </c:extLst>
        </c:ser>
        <c:ser>
          <c:idx val="1"/>
          <c:order val="1"/>
          <c:tx>
            <c:strRef>
              <c:f>'Temperaturstunden profile'!$G$1</c:f>
              <c:strCache>
                <c:ptCount val="1"/>
                <c:pt idx="0">
                  <c:v>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profile'!$G$2:$G$39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1.3935041269160682E-2</c:v>
                </c:pt>
                <c:pt idx="13">
                  <c:v>0.33497695358559326</c:v>
                </c:pt>
                <c:pt idx="14">
                  <c:v>0.29585164540679598</c:v>
                </c:pt>
                <c:pt idx="15">
                  <c:v>0.29585164540679598</c:v>
                </c:pt>
                <c:pt idx="16">
                  <c:v>0.3183620966877479</c:v>
                </c:pt>
                <c:pt idx="17">
                  <c:v>0.76535534355236368</c:v>
                </c:pt>
                <c:pt idx="18">
                  <c:v>0.97545288884124759</c:v>
                </c:pt>
                <c:pt idx="19">
                  <c:v>0.90631364562118122</c:v>
                </c:pt>
                <c:pt idx="20">
                  <c:v>1.5918104834387394</c:v>
                </c:pt>
                <c:pt idx="21">
                  <c:v>1.576267552792368</c:v>
                </c:pt>
                <c:pt idx="22">
                  <c:v>2.0580984028298852</c:v>
                </c:pt>
                <c:pt idx="23">
                  <c:v>2.2510451280951869</c:v>
                </c:pt>
                <c:pt idx="24">
                  <c:v>2.401114803301533</c:v>
                </c:pt>
                <c:pt idx="25">
                  <c:v>2.4874048665451816</c:v>
                </c:pt>
                <c:pt idx="26">
                  <c:v>2.2896344731482476</c:v>
                </c:pt>
                <c:pt idx="27">
                  <c:v>1.7863650980812518</c:v>
                </c:pt>
                <c:pt idx="28">
                  <c:v>1.7686783149319325</c:v>
                </c:pt>
                <c:pt idx="29">
                  <c:v>1.5725158109122093</c:v>
                </c:pt>
                <c:pt idx="30">
                  <c:v>1.492121342051667</c:v>
                </c:pt>
                <c:pt idx="31">
                  <c:v>1.2568335298531461</c:v>
                </c:pt>
                <c:pt idx="32">
                  <c:v>1.0129703076428342</c:v>
                </c:pt>
                <c:pt idx="33">
                  <c:v>0.5761603601672205</c:v>
                </c:pt>
                <c:pt idx="34">
                  <c:v>0.36231107299817772</c:v>
                </c:pt>
                <c:pt idx="35">
                  <c:v>0.24279129595883805</c:v>
                </c:pt>
                <c:pt idx="36">
                  <c:v>0.11255225640475935</c:v>
                </c:pt>
                <c:pt idx="37">
                  <c:v>3.966127130453425E-2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3-401C-AB9D-542132853EFE}"/>
            </c:ext>
          </c:extLst>
        </c:ser>
        <c:ser>
          <c:idx val="2"/>
          <c:order val="2"/>
          <c:tx>
            <c:strRef>
              <c:f>'Temperaturstunden profile'!$H$1</c:f>
              <c:strCache>
                <c:ptCount val="1"/>
                <c:pt idx="0">
                  <c:v>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profile'!$H$2:$H$39</c:f>
              <c:numCache>
                <c:formatCode>0.000</c:formatCode>
                <c:ptCount val="38"/>
                <c:pt idx="0">
                  <c:v>1.5513496742165685E-2</c:v>
                </c:pt>
                <c:pt idx="1">
                  <c:v>9.0631480967389003E-2</c:v>
                </c:pt>
                <c:pt idx="2">
                  <c:v>0.19106095987719843</c:v>
                </c:pt>
                <c:pt idx="3">
                  <c:v>0.24290869898917322</c:v>
                </c:pt>
                <c:pt idx="4">
                  <c:v>0.26372944461681663</c:v>
                </c:pt>
                <c:pt idx="5">
                  <c:v>0.3502784264415304</c:v>
                </c:pt>
                <c:pt idx="6">
                  <c:v>0.50949589300586251</c:v>
                </c:pt>
                <c:pt idx="7">
                  <c:v>0.51888564103401547</c:v>
                </c:pt>
                <c:pt idx="8">
                  <c:v>0.42866240998089389</c:v>
                </c:pt>
                <c:pt idx="9">
                  <c:v>0.61564087071541707</c:v>
                </c:pt>
                <c:pt idx="10">
                  <c:v>0.42294691118114869</c:v>
                </c:pt>
                <c:pt idx="11">
                  <c:v>0.45193265509414243</c:v>
                </c:pt>
                <c:pt idx="12">
                  <c:v>0.45642340415108512</c:v>
                </c:pt>
                <c:pt idx="13">
                  <c:v>0.55113738426114933</c:v>
                </c:pt>
                <c:pt idx="14">
                  <c:v>0.88181981481783889</c:v>
                </c:pt>
                <c:pt idx="15">
                  <c:v>1.1737185035191142</c:v>
                </c:pt>
                <c:pt idx="16">
                  <c:v>1.5178731812466317</c:v>
                </c:pt>
                <c:pt idx="17">
                  <c:v>1.6717833989254864</c:v>
                </c:pt>
                <c:pt idx="18">
                  <c:v>2.2698695233274</c:v>
                </c:pt>
                <c:pt idx="19">
                  <c:v>2.3735650015513499</c:v>
                </c:pt>
                <c:pt idx="20">
                  <c:v>3.3362182993941571</c:v>
                </c:pt>
                <c:pt idx="21">
                  <c:v>2.6719956888809056</c:v>
                </c:pt>
                <c:pt idx="22">
                  <c:v>3.2006793278573413</c:v>
                </c:pt>
                <c:pt idx="23">
                  <c:v>3.2639580645688064</c:v>
                </c:pt>
                <c:pt idx="24">
                  <c:v>2.171889543903196</c:v>
                </c:pt>
                <c:pt idx="25">
                  <c:v>1.2100527458889234</c:v>
                </c:pt>
                <c:pt idx="26">
                  <c:v>1.2786387314858665</c:v>
                </c:pt>
                <c:pt idx="27">
                  <c:v>1.2529189868870128</c:v>
                </c:pt>
                <c:pt idx="28">
                  <c:v>0.93489230367261622</c:v>
                </c:pt>
                <c:pt idx="29">
                  <c:v>0.98837304244166113</c:v>
                </c:pt>
                <c:pt idx="30">
                  <c:v>0.76097784019465364</c:v>
                </c:pt>
                <c:pt idx="31">
                  <c:v>0.65728236197070411</c:v>
                </c:pt>
                <c:pt idx="32">
                  <c:v>0.59522837500204129</c:v>
                </c:pt>
                <c:pt idx="33">
                  <c:v>0.38987866812547967</c:v>
                </c:pt>
                <c:pt idx="34">
                  <c:v>0.23841794993223051</c:v>
                </c:pt>
                <c:pt idx="35">
                  <c:v>0.18371246142038308</c:v>
                </c:pt>
                <c:pt idx="36">
                  <c:v>7.9200483367898492E-2</c:v>
                </c:pt>
                <c:pt idx="37">
                  <c:v>2.4903244770318602E-2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D3-401C-AB9D-542132853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63960"/>
        <c:axId val="378762648"/>
      </c:scatterChart>
      <c:valAx>
        <c:axId val="37876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2648"/>
        <c:crosses val="autoZero"/>
        <c:crossBetween val="midCat"/>
      </c:valAx>
      <c:valAx>
        <c:axId val="37876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Wärme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profile'!$I$1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profile'!$I$2:$I$40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2.2458692048553555E-3</c:v>
                </c:pt>
                <c:pt idx="25">
                  <c:v>1.7539169028394204E-2</c:v>
                </c:pt>
                <c:pt idx="26">
                  <c:v>5.7964814715790597E-2</c:v>
                </c:pt>
                <c:pt idx="27">
                  <c:v>9.5021656595903947E-2</c:v>
                </c:pt>
                <c:pt idx="28">
                  <c:v>0.18859954013154373</c:v>
                </c:pt>
                <c:pt idx="29">
                  <c:v>0.2665632853858082</c:v>
                </c:pt>
                <c:pt idx="30">
                  <c:v>0.37735949949200576</c:v>
                </c:pt>
                <c:pt idx="31">
                  <c:v>0.51211165178332707</c:v>
                </c:pt>
                <c:pt idx="32">
                  <c:v>0.64943051173734023</c:v>
                </c:pt>
                <c:pt idx="33">
                  <c:v>0.76439762579541193</c:v>
                </c:pt>
                <c:pt idx="34">
                  <c:v>0.87198545532324467</c:v>
                </c:pt>
                <c:pt idx="35">
                  <c:v>0.9432115929629431</c:v>
                </c:pt>
                <c:pt idx="36">
                  <c:v>0.98427891556601244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9-4BEB-B990-E0013FE60BCB}"/>
            </c:ext>
          </c:extLst>
        </c:ser>
        <c:ser>
          <c:idx val="1"/>
          <c:order val="1"/>
          <c:tx>
            <c:strRef>
              <c:f>'Temperaturstunden profile'!$J$1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profile'!$J$2:$J$40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4.8411723084943955E-4</c:v>
                </c:pt>
                <c:pt idx="13">
                  <c:v>1.2121550664730196E-2</c:v>
                </c:pt>
                <c:pt idx="14">
                  <c:v>2.2399731873533682E-2</c:v>
                </c:pt>
                <c:pt idx="15">
                  <c:v>3.2677913082337168E-2</c:v>
                </c:pt>
                <c:pt idx="16">
                  <c:v>4.3738129817897438E-2</c:v>
                </c:pt>
                <c:pt idx="17">
                  <c:v>7.0327337727628197E-2</c:v>
                </c:pt>
                <c:pt idx="18">
                  <c:v>0.10421554388708895</c:v>
                </c:pt>
                <c:pt idx="19">
                  <c:v>0.13570178378579673</c:v>
                </c:pt>
                <c:pt idx="20">
                  <c:v>0.1910028674635981</c:v>
                </c:pt>
                <c:pt idx="21">
                  <c:v>0.24576397423006741</c:v>
                </c:pt>
                <c:pt idx="22">
                  <c:v>0.31726436524783075</c:v>
                </c:pt>
                <c:pt idx="23">
                  <c:v>0.39546791792350944</c:v>
                </c:pt>
                <c:pt idx="24">
                  <c:v>0.47888504077756672</c:v>
                </c:pt>
                <c:pt idx="25">
                  <c:v>0.56529996648419167</c:v>
                </c:pt>
                <c:pt idx="26">
                  <c:v>0.64484415149145347</c:v>
                </c:pt>
                <c:pt idx="27">
                  <c:v>0.70690425650765276</c:v>
                </c:pt>
                <c:pt idx="28">
                  <c:v>0.76834990503854317</c:v>
                </c:pt>
                <c:pt idx="29">
                  <c:v>0.82298067255055296</c:v>
                </c:pt>
                <c:pt idx="30">
                  <c:v>0.87481845603843145</c:v>
                </c:pt>
                <c:pt idx="31">
                  <c:v>0.91848210628235205</c:v>
                </c:pt>
                <c:pt idx="32">
                  <c:v>0.95367370498640747</c:v>
                </c:pt>
                <c:pt idx="33">
                  <c:v>0.9736900904926824</c:v>
                </c:pt>
                <c:pt idx="34">
                  <c:v>0.98627713849476784</c:v>
                </c:pt>
                <c:pt idx="35">
                  <c:v>0.99471195024764458</c:v>
                </c:pt>
                <c:pt idx="36">
                  <c:v>0.99862212788142857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A9-4BEB-B990-E0013FE60BCB}"/>
            </c:ext>
          </c:extLst>
        </c:ser>
        <c:ser>
          <c:idx val="2"/>
          <c:order val="2"/>
          <c:tx>
            <c:strRef>
              <c:f>'Temperaturstunden profile'!$K$1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profile'!$K$2:$K$40</c:f>
              <c:numCache>
                <c:formatCode>0.000</c:formatCode>
                <c:ptCount val="39"/>
                <c:pt idx="0">
                  <c:v>4.0571849542499016E-4</c:v>
                </c:pt>
                <c:pt idx="1">
                  <c:v>2.7759686529078278E-3</c:v>
                </c:pt>
                <c:pt idx="2">
                  <c:v>7.772712228141917E-3</c:v>
                </c:pt>
                <c:pt idx="3">
                  <c:v>1.4125409722296367E-2</c:v>
                </c:pt>
                <c:pt idx="4">
                  <c:v>2.1022624144521201E-2</c:v>
                </c:pt>
                <c:pt idx="5">
                  <c:v>3.0183320699117028E-2</c:v>
                </c:pt>
                <c:pt idx="6">
                  <c:v>4.3507970233074601E-2</c:v>
                </c:pt>
                <c:pt idx="7">
                  <c:v>5.7078186224789405E-2</c:v>
                </c:pt>
                <c:pt idx="8">
                  <c:v>6.8288828861532549E-2</c:v>
                </c:pt>
                <c:pt idx="9">
                  <c:v>8.4389447048397945E-2</c:v>
                </c:pt>
                <c:pt idx="10">
                  <c:v>9.5450614449984525E-2</c:v>
                </c:pt>
                <c:pt idx="11">
                  <c:v>0.10726983482986516</c:v>
                </c:pt>
                <c:pt idx="12">
                  <c:v>0.11920650003736881</c:v>
                </c:pt>
                <c:pt idx="13">
                  <c:v>0.13362018342746715</c:v>
                </c:pt>
                <c:pt idx="14">
                  <c:v>0.1566820768516245</c:v>
                </c:pt>
                <c:pt idx="15">
                  <c:v>0.18737788407127837</c:v>
                </c:pt>
                <c:pt idx="16">
                  <c:v>0.22707423580786029</c:v>
                </c:pt>
                <c:pt idx="17">
                  <c:v>0.27079574209115859</c:v>
                </c:pt>
                <c:pt idx="18">
                  <c:v>0.33015876405334132</c:v>
                </c:pt>
                <c:pt idx="19">
                  <c:v>0.39223369385336482</c:v>
                </c:pt>
                <c:pt idx="20">
                  <c:v>0.47948452397476005</c:v>
                </c:pt>
                <c:pt idx="21">
                  <c:v>0.54936419641045897</c:v>
                </c:pt>
                <c:pt idx="22">
                  <c:v>0.63307032809814112</c:v>
                </c:pt>
                <c:pt idx="23">
                  <c:v>0.71843136417505682</c:v>
                </c:pt>
                <c:pt idx="24">
                  <c:v>0.77523195353455543</c:v>
                </c:pt>
                <c:pt idx="25">
                  <c:v>0.80687799617770462</c:v>
                </c:pt>
                <c:pt idx="26">
                  <c:v>0.84031774164273276</c:v>
                </c:pt>
                <c:pt idx="27">
                  <c:v>0.87308484854955626</c:v>
                </c:pt>
                <c:pt idx="28">
                  <c:v>0.89753472630016751</c:v>
                </c:pt>
                <c:pt idx="29">
                  <c:v>0.9233832651797439</c:v>
                </c:pt>
                <c:pt idx="30">
                  <c:v>0.94328482506059075</c:v>
                </c:pt>
                <c:pt idx="31">
                  <c:v>0.9604744771035969</c:v>
                </c:pt>
                <c:pt idx="32">
                  <c:v>0.97604125516490314</c:v>
                </c:pt>
                <c:pt idx="33">
                  <c:v>0.98623760156308382</c:v>
                </c:pt>
                <c:pt idx="34">
                  <c:v>0.99247285422961529</c:v>
                </c:pt>
                <c:pt idx="35">
                  <c:v>0.99727741535964809</c:v>
                </c:pt>
                <c:pt idx="36">
                  <c:v>0.99934871504681777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A9-4BEB-B990-E0013FE60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Stunden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profile'!$L$1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profile'!$L$2:$L$40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8.3565459610027853E-4</c:v>
                </c:pt>
                <c:pt idx="25">
                  <c:v>6.9637883008356544E-3</c:v>
                </c:pt>
                <c:pt idx="26">
                  <c:v>2.4512534818941504E-2</c:v>
                </c:pt>
                <c:pt idx="27">
                  <c:v>4.2061281337047354E-2</c:v>
                </c:pt>
                <c:pt idx="28">
                  <c:v>9.0807799442896936E-2</c:v>
                </c:pt>
                <c:pt idx="29">
                  <c:v>0.13593314763231198</c:v>
                </c:pt>
                <c:pt idx="30">
                  <c:v>0.20807799442896935</c:v>
                </c:pt>
                <c:pt idx="31">
                  <c:v>0.30835654596100276</c:v>
                </c:pt>
                <c:pt idx="32">
                  <c:v>0.42757660167130918</c:v>
                </c:pt>
                <c:pt idx="33">
                  <c:v>0.5473537604456824</c:v>
                </c:pt>
                <c:pt idx="34">
                  <c:v>0.68746518105849574</c:v>
                </c:pt>
                <c:pt idx="35">
                  <c:v>0.81114206128133692</c:v>
                </c:pt>
                <c:pt idx="36">
                  <c:v>0.91810584958217256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6-40F4-9F5D-B52131695989}"/>
            </c:ext>
          </c:extLst>
        </c:ser>
        <c:ser>
          <c:idx val="1"/>
          <c:order val="1"/>
          <c:tx>
            <c:strRef>
              <c:f>'Temperaturstunden profile'!$M$1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profile'!$M$2:$M$40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2.0366598778004074E-4</c:v>
                </c:pt>
                <c:pt idx="13">
                  <c:v>5.295315682281059E-3</c:v>
                </c:pt>
                <c:pt idx="14">
                  <c:v>9.9796334012219948E-3</c:v>
                </c:pt>
                <c:pt idx="15">
                  <c:v>1.4867617107942974E-2</c:v>
                </c:pt>
                <c:pt idx="16">
                  <c:v>2.0366598778004074E-2</c:v>
                </c:pt>
                <c:pt idx="17">
                  <c:v>3.4215885947046845E-2</c:v>
                </c:pt>
                <c:pt idx="18">
                  <c:v>5.2749490835030555E-2</c:v>
                </c:pt>
                <c:pt idx="19">
                  <c:v>7.0875763747454176E-2</c:v>
                </c:pt>
                <c:pt idx="20">
                  <c:v>0.10448065173116089</c:v>
                </c:pt>
                <c:pt idx="21">
                  <c:v>0.13971486761710794</c:v>
                </c:pt>
                <c:pt idx="22">
                  <c:v>0.18859470468431772</c:v>
                </c:pt>
                <c:pt idx="23">
                  <c:v>0.24562118126272914</c:v>
                </c:pt>
                <c:pt idx="24">
                  <c:v>0.31079429735234215</c:v>
                </c:pt>
                <c:pt idx="25">
                  <c:v>0.38350305498981668</c:v>
                </c:pt>
                <c:pt idx="26">
                  <c:v>0.45600814663951117</c:v>
                </c:pt>
                <c:pt idx="27">
                  <c:v>0.51771894093686355</c:v>
                </c:pt>
                <c:pt idx="28">
                  <c:v>0.58492871690427695</c:v>
                </c:pt>
                <c:pt idx="29">
                  <c:v>0.65132382892057028</c:v>
                </c:pt>
                <c:pt idx="30">
                  <c:v>0.72219959266802447</c:v>
                </c:pt>
                <c:pt idx="31">
                  <c:v>0.79042769857433814</c:v>
                </c:pt>
                <c:pt idx="32">
                  <c:v>0.85458248472505094</c:v>
                </c:pt>
                <c:pt idx="33">
                  <c:v>0.89837067209775967</c:v>
                </c:pt>
                <c:pt idx="34">
                  <c:v>0.9327902240325866</c:v>
                </c:pt>
                <c:pt idx="35">
                  <c:v>0.96354378818737274</c:v>
                </c:pt>
                <c:pt idx="36">
                  <c:v>0.98492871690427697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56-40F4-9F5D-B52131695989}"/>
            </c:ext>
          </c:extLst>
        </c:ser>
        <c:ser>
          <c:idx val="2"/>
          <c:order val="2"/>
          <c:tx>
            <c:strRef>
              <c:f>'Temperaturstunden profile'!$N$1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profile'!$N$2:$N$40</c:f>
              <c:numCache>
                <c:formatCode>0.000</c:formatCode>
                <c:ptCount val="39"/>
                <c:pt idx="0">
                  <c:v>1.5513496742165683E-4</c:v>
                </c:pt>
                <c:pt idx="1">
                  <c:v>1.0859447719515978E-3</c:v>
                </c:pt>
                <c:pt idx="2">
                  <c:v>3.1026993484331369E-3</c:v>
                </c:pt>
                <c:pt idx="3">
                  <c:v>5.7399937946013037E-3</c:v>
                </c:pt>
                <c:pt idx="4">
                  <c:v>8.6875581756127827E-3</c:v>
                </c:pt>
                <c:pt idx="5">
                  <c:v>1.272106732857586E-2</c:v>
                </c:pt>
                <c:pt idx="6">
                  <c:v>1.8771331058020476E-2</c:v>
                </c:pt>
                <c:pt idx="7">
                  <c:v>2.5131864722308408E-2</c:v>
                </c:pt>
                <c:pt idx="8">
                  <c:v>3.0561588582066396E-2</c:v>
                </c:pt>
                <c:pt idx="9">
                  <c:v>3.862860688799255E-2</c:v>
                </c:pt>
                <c:pt idx="10">
                  <c:v>4.4368600682593851E-2</c:v>
                </c:pt>
                <c:pt idx="11">
                  <c:v>5.0729134346881782E-2</c:v>
                </c:pt>
                <c:pt idx="12">
                  <c:v>5.739993794601303E-2</c:v>
                </c:pt>
                <c:pt idx="13">
                  <c:v>6.57772261867825E-2</c:v>
                </c:pt>
                <c:pt idx="14">
                  <c:v>7.9739373254731613E-2</c:v>
                </c:pt>
                <c:pt idx="15">
                  <c:v>9.913124418243871E-2</c:v>
                </c:pt>
                <c:pt idx="16">
                  <c:v>0.12534905367669871</c:v>
                </c:pt>
                <c:pt idx="17">
                  <c:v>0.15560037232392179</c:v>
                </c:pt>
                <c:pt idx="18">
                  <c:v>0.19872789326714241</c:v>
                </c:pt>
                <c:pt idx="19">
                  <c:v>0.24619919329816942</c:v>
                </c:pt>
                <c:pt idx="20">
                  <c:v>0.31663046850760163</c:v>
                </c:pt>
                <c:pt idx="21">
                  <c:v>0.37635743096493951</c:v>
                </c:pt>
                <c:pt idx="22">
                  <c:v>0.45237356500155135</c:v>
                </c:pt>
                <c:pt idx="23">
                  <c:v>0.53506050263729443</c:v>
                </c:pt>
                <c:pt idx="24">
                  <c:v>0.59401179025752404</c:v>
                </c:pt>
                <c:pt idx="25">
                  <c:v>0.62938256282966176</c:v>
                </c:pt>
                <c:pt idx="26">
                  <c:v>0.66987278932671424</c:v>
                </c:pt>
                <c:pt idx="27">
                  <c:v>0.71315544523735652</c:v>
                </c:pt>
                <c:pt idx="28">
                  <c:v>0.74868135277691594</c:v>
                </c:pt>
                <c:pt idx="29">
                  <c:v>0.79041265901334168</c:v>
                </c:pt>
                <c:pt idx="30">
                  <c:v>0.82655910642258767</c:v>
                </c:pt>
                <c:pt idx="31">
                  <c:v>0.86224014892956879</c:v>
                </c:pt>
                <c:pt idx="32">
                  <c:v>0.89993794601303145</c:v>
                </c:pt>
                <c:pt idx="33">
                  <c:v>0.92956872479056796</c:v>
                </c:pt>
                <c:pt idx="34">
                  <c:v>0.95221843003412987</c:v>
                </c:pt>
                <c:pt idx="35">
                  <c:v>0.97548867514737836</c:v>
                </c:pt>
                <c:pt idx="36">
                  <c:v>0.9905367669872791</c:v>
                </c:pt>
                <c:pt idx="37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56-40F4-9F5D-B52131695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'Temperaturstunden profile'!$J$44:$J$46</c:f>
              <c:numCache>
                <c:formatCode>0</c:formatCode>
                <c:ptCount val="3"/>
                <c:pt idx="0">
                  <c:v>-22</c:v>
                </c:pt>
                <c:pt idx="1">
                  <c:v>-10</c:v>
                </c:pt>
                <c:pt idx="2">
                  <c:v>2</c:v>
                </c:pt>
              </c:numCache>
            </c:numRef>
          </c:xVal>
          <c:yVal>
            <c:numRef>
              <c:f>'Temperaturstunden profile'!$K$44:$K$46</c:f>
              <c:numCache>
                <c:formatCode>General</c:formatCode>
                <c:ptCount val="3"/>
                <c:pt idx="0">
                  <c:v>5.8562389468402012</c:v>
                </c:pt>
                <c:pt idx="1">
                  <c:v>6.987865266450676</c:v>
                </c:pt>
                <c:pt idx="2">
                  <c:v>10.805806534409925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A-49D4-BEA1-E867F9B6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30776"/>
        <c:axId val="1088027824"/>
      </c:scatterChart>
      <c:valAx>
        <c:axId val="108803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27824"/>
        <c:crosses val="autoZero"/>
        <c:crossBetween val="midCat"/>
      </c:valAx>
      <c:valAx>
        <c:axId val="10880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3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63D73.94F584E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4762</xdr:rowOff>
    </xdr:from>
    <xdr:to>
      <xdr:col>3</xdr:col>
      <xdr:colOff>333375</xdr:colOff>
      <xdr:row>48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F5D11A-A09A-48F6-976B-A079E0503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85</xdr:row>
      <xdr:rowOff>9525</xdr:rowOff>
    </xdr:from>
    <xdr:to>
      <xdr:col>0</xdr:col>
      <xdr:colOff>1762125</xdr:colOff>
      <xdr:row>88</xdr:row>
      <xdr:rowOff>57150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34690342-BC8D-4A10-B15B-67B625B0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753475"/>
          <a:ext cx="1609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171450</xdr:rowOff>
    </xdr:from>
    <xdr:to>
      <xdr:col>3</xdr:col>
      <xdr:colOff>304800</xdr:colOff>
      <xdr:row>81</xdr:row>
      <xdr:rowOff>166689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D7530C0-A1EB-4A6E-A24E-52EC0FC4A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302573</xdr:colOff>
      <xdr:row>0</xdr:row>
      <xdr:rowOff>180665</xdr:rowOff>
    </xdr:from>
    <xdr:to>
      <xdr:col>34</xdr:col>
      <xdr:colOff>302573</xdr:colOff>
      <xdr:row>15</xdr:row>
      <xdr:rowOff>66365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5A8AB9-85E7-42EB-9028-414A57E61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333870</xdr:colOff>
      <xdr:row>16</xdr:row>
      <xdr:rowOff>27894</xdr:rowOff>
    </xdr:from>
    <xdr:to>
      <xdr:col>34</xdr:col>
      <xdr:colOff>333870</xdr:colOff>
      <xdr:row>30</xdr:row>
      <xdr:rowOff>104094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DF55710-FBB3-42AA-9772-66BFE16A5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406977</xdr:colOff>
      <xdr:row>31</xdr:row>
      <xdr:rowOff>30739</xdr:rowOff>
    </xdr:from>
    <xdr:to>
      <xdr:col>34</xdr:col>
      <xdr:colOff>406977</xdr:colOff>
      <xdr:row>45</xdr:row>
      <xdr:rowOff>106939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75F744-E21A-473A-A604-109D4EF3A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456457</xdr:colOff>
      <xdr:row>16</xdr:row>
      <xdr:rowOff>136072</xdr:rowOff>
    </xdr:from>
    <xdr:to>
      <xdr:col>40</xdr:col>
      <xdr:colOff>456457</xdr:colOff>
      <xdr:row>31</xdr:row>
      <xdr:rowOff>21772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771CE55-759D-465B-BE50-69A3CC0AC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502227</xdr:colOff>
      <xdr:row>52</xdr:row>
      <xdr:rowOff>117764</xdr:rowOff>
    </xdr:from>
    <xdr:to>
      <xdr:col>11</xdr:col>
      <xdr:colOff>398318</xdr:colOff>
      <xdr:row>67</xdr:row>
      <xdr:rowOff>3464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2B946CB-388D-4296-A1C1-C4EFF4922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mbda-wp.at/" TargetMode="External"/><Relationship Id="rId1" Type="http://schemas.openxmlformats.org/officeDocument/2006/relationships/hyperlink" Target="mailto:office@lambda-wp.at&#160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38EC-9499-492B-8E48-40CB4E5518C3}">
  <dimension ref="A1:F89"/>
  <sheetViews>
    <sheetView tabSelected="1" workbookViewId="0">
      <selection activeCell="B12" sqref="B12"/>
    </sheetView>
  </sheetViews>
  <sheetFormatPr baseColWidth="10" defaultRowHeight="15" x14ac:dyDescent="0.25"/>
  <cols>
    <col min="1" max="1" width="29.5703125" bestFit="1" customWidth="1"/>
    <col min="2" max="2" width="30.42578125" customWidth="1"/>
  </cols>
  <sheetData>
    <row r="1" spans="1:3" ht="23.25" x14ac:dyDescent="0.35">
      <c r="A1" s="13" t="s">
        <v>26</v>
      </c>
    </row>
    <row r="2" spans="1:3" ht="15.75" thickBot="1" x14ac:dyDescent="0.3"/>
    <row r="3" spans="1:3" x14ac:dyDescent="0.25">
      <c r="A3" s="31" t="s">
        <v>1</v>
      </c>
      <c r="B3" s="32"/>
      <c r="C3" s="33"/>
    </row>
    <row r="4" spans="1:3" x14ac:dyDescent="0.25">
      <c r="A4" s="3" t="s">
        <v>0</v>
      </c>
      <c r="B4" s="4" t="s">
        <v>61</v>
      </c>
      <c r="C4" s="5"/>
    </row>
    <row r="5" spans="1:3" x14ac:dyDescent="0.25">
      <c r="A5" s="3" t="s">
        <v>97</v>
      </c>
      <c r="B5" s="4">
        <v>1</v>
      </c>
      <c r="C5" s="5"/>
    </row>
    <row r="6" spans="1:3" x14ac:dyDescent="0.25">
      <c r="A6" s="3" t="s">
        <v>51</v>
      </c>
      <c r="B6" s="4" t="s">
        <v>99</v>
      </c>
      <c r="C6" s="5"/>
    </row>
    <row r="7" spans="1:3" x14ac:dyDescent="0.25">
      <c r="A7" s="3" t="str">
        <f>IF(B6="spez. Heizlast","",IF(B6="Heizlast","Gebäudeheizlast","Jahresverbrauch"))</f>
        <v>Jahresverbrauch</v>
      </c>
      <c r="B7" s="4">
        <v>20000</v>
      </c>
      <c r="C7" s="5" t="str">
        <f>IF(B6="spez. Heizlast","",IF(B6="Heizlast","kW",IF(B6="Gasverbrauch","kWh","l")))</f>
        <v>kWh</v>
      </c>
    </row>
    <row r="8" spans="1:3" x14ac:dyDescent="0.25">
      <c r="A8" s="3" t="s">
        <v>66</v>
      </c>
      <c r="B8" s="4">
        <v>0.18</v>
      </c>
      <c r="C8" s="5" t="s">
        <v>67</v>
      </c>
    </row>
    <row r="9" spans="1:3" x14ac:dyDescent="0.25">
      <c r="A9" s="3" t="s">
        <v>18</v>
      </c>
      <c r="B9" s="4">
        <v>-13</v>
      </c>
      <c r="C9" s="5" t="s">
        <v>19</v>
      </c>
    </row>
    <row r="10" spans="1:3" x14ac:dyDescent="0.25">
      <c r="A10" s="3" t="s">
        <v>64</v>
      </c>
      <c r="B10" s="4" t="s">
        <v>101</v>
      </c>
      <c r="C10" s="5"/>
    </row>
    <row r="11" spans="1:3" x14ac:dyDescent="0.25">
      <c r="A11" s="3" t="s">
        <v>2</v>
      </c>
      <c r="B11" s="4" t="s">
        <v>100</v>
      </c>
      <c r="C11" s="5"/>
    </row>
    <row r="12" spans="1:3" x14ac:dyDescent="0.25">
      <c r="A12" s="3" t="s">
        <v>3</v>
      </c>
      <c r="B12" s="4">
        <v>200</v>
      </c>
      <c r="C12" s="5" t="s">
        <v>5</v>
      </c>
    </row>
    <row r="13" spans="1:3" x14ac:dyDescent="0.25">
      <c r="A13" s="3" t="s">
        <v>6</v>
      </c>
      <c r="B13" s="4">
        <v>4</v>
      </c>
      <c r="C13" s="5" t="s">
        <v>9</v>
      </c>
    </row>
    <row r="14" spans="1:3" ht="15.75" thickBot="1" x14ac:dyDescent="0.3">
      <c r="A14" s="6" t="s">
        <v>7</v>
      </c>
      <c r="B14" s="7" t="s">
        <v>8</v>
      </c>
      <c r="C14" s="8"/>
    </row>
    <row r="15" spans="1:3" ht="15.75" thickBot="1" x14ac:dyDescent="0.3">
      <c r="A15" s="2"/>
      <c r="B15" s="2"/>
    </row>
    <row r="16" spans="1:3" x14ac:dyDescent="0.25">
      <c r="A16" s="31" t="s">
        <v>87</v>
      </c>
      <c r="B16" s="32"/>
      <c r="C16" s="33"/>
    </row>
    <row r="17" spans="1:4" x14ac:dyDescent="0.25">
      <c r="A17" s="9" t="s">
        <v>15</v>
      </c>
      <c r="B17" s="10">
        <f>IF(B6="Heizlast",B7*1000/B12,IF(OR(B6="Ölverbrauch",B6="Gasverbrauch"),'Temperaturstunden profile'!C54*1000/B12,IF(B11="Passivhaus",15,IF(B11="Niedrigenergiehaus",30,IF(B11="Neubau",35,IF(B11="Bestand Gebäudehülle saniert",45,IF(B11="Bestand BJ &gt; 2000",45,IF(B11="Bestand BJ &gt; 1980",55,IF(B11="Bestand BJ &gt; 1960",70)))))))))</f>
        <v>41.905991790925363</v>
      </c>
      <c r="C17" s="11" t="s">
        <v>10</v>
      </c>
    </row>
    <row r="18" spans="1:4" x14ac:dyDescent="0.25">
      <c r="A18" s="9" t="s">
        <v>12</v>
      </c>
      <c r="B18" s="12">
        <f>B13*IF(B14="keiner",0,IF(B14="hoch",100,IF(B14="mittel",70,IF(B14="gering",40))))</f>
        <v>280</v>
      </c>
      <c r="C18" s="11" t="s">
        <v>13</v>
      </c>
    </row>
    <row r="19" spans="1:4" x14ac:dyDescent="0.25">
      <c r="A19" s="9" t="s">
        <v>14</v>
      </c>
      <c r="B19" s="10">
        <f>B18/1000*1.163*40/24/B12*1000*2</f>
        <v>5.4273333333333342</v>
      </c>
      <c r="C19" s="11" t="s">
        <v>10</v>
      </c>
    </row>
    <row r="20" spans="1:4" x14ac:dyDescent="0.25">
      <c r="A20" s="9" t="s">
        <v>11</v>
      </c>
      <c r="B20" s="10">
        <f>B17*B12/1000</f>
        <v>8.3811983581850722</v>
      </c>
      <c r="C20" s="11" t="s">
        <v>4</v>
      </c>
    </row>
    <row r="21" spans="1:4" x14ac:dyDescent="0.25">
      <c r="A21" s="9" t="s">
        <v>16</v>
      </c>
      <c r="B21" s="10">
        <f>B19*B12/1000</f>
        <v>1.085466666666667</v>
      </c>
      <c r="C21" s="11" t="s">
        <v>4</v>
      </c>
    </row>
    <row r="22" spans="1:4" x14ac:dyDescent="0.25">
      <c r="A22" s="18" t="s">
        <v>17</v>
      </c>
      <c r="B22" s="19">
        <f>B20+B21</f>
        <v>9.4666650248517392</v>
      </c>
      <c r="C22" s="20" t="s">
        <v>4</v>
      </c>
    </row>
    <row r="23" spans="1:4" x14ac:dyDescent="0.25">
      <c r="A23" s="9" t="s">
        <v>29</v>
      </c>
      <c r="B23" s="10">
        <f>IF(ISNUMBER(IF(INDEX(Leistungsdaten!K2:L214,MATCH(0,Leistungsdaten!L2:L214,TRUE),1)&gt;B22-0.2,"monovalent",INDEX(Leistungsdaten!K2:L214,MATCH(0,Leistungsdaten!L2:L214,TRUE),1))),IF(INDEX(Leistungsdaten!K2:L214,MATCH(0,Leistungsdaten!L2:L214,TRUE),1)&gt;B22-0.2,"monovalent",INDEX(Leistungsdaten!K2:L214,MATCH(0,Leistungsdaten!L2:L214,TRUE),1)),"monovalent")</f>
        <v>8.4380553122627386</v>
      </c>
      <c r="C23" s="11" t="s">
        <v>4</v>
      </c>
    </row>
    <row r="24" spans="1:4" x14ac:dyDescent="0.25">
      <c r="A24" s="18" t="s">
        <v>30</v>
      </c>
      <c r="B24" s="19">
        <f>IF(B23="monovalent","monovalent",INDEX(Leistungsdaten!I2:L214,MATCH('Planungstool Heizlast'!B23,Leistungsdaten!K2:K214,0),1))</f>
        <v>-7.0008867404044999</v>
      </c>
      <c r="C24" s="20" t="s">
        <v>19</v>
      </c>
    </row>
    <row r="25" spans="1:4" ht="15.75" thickBot="1" x14ac:dyDescent="0.3">
      <c r="A25" s="21" t="s">
        <v>24</v>
      </c>
      <c r="B25" s="22">
        <f>IF(B22-VLOOKUP('Planungstool Heizlast'!B9,Leistungsdaten!I2:J214,2,TRUE)&gt;0,B22-VLOOKUP('Planungstool Heizlast'!B9,Leistungsdaten!I2:J214,2,TRUE),0)</f>
        <v>2.1842572377438092</v>
      </c>
      <c r="C25" s="23" t="s">
        <v>4</v>
      </c>
    </row>
    <row r="26" spans="1:4" x14ac:dyDescent="0.25">
      <c r="A26" s="17" t="s">
        <v>25</v>
      </c>
    </row>
    <row r="27" spans="1:4" x14ac:dyDescent="0.25">
      <c r="A27" s="34" t="s">
        <v>96</v>
      </c>
      <c r="B27" s="34"/>
      <c r="C27" s="34"/>
      <c r="D27" s="34"/>
    </row>
    <row r="28" spans="1:4" ht="17.25" customHeight="1" x14ac:dyDescent="0.25">
      <c r="A28" s="34"/>
      <c r="B28" s="34"/>
      <c r="C28" s="34"/>
      <c r="D28" s="34"/>
    </row>
    <row r="51" spans="1:6" ht="15.75" thickBot="1" x14ac:dyDescent="0.3"/>
    <row r="52" spans="1:6" x14ac:dyDescent="0.25">
      <c r="A52" s="31" t="s">
        <v>88</v>
      </c>
      <c r="B52" s="32"/>
      <c r="C52" s="33"/>
    </row>
    <row r="53" spans="1:6" x14ac:dyDescent="0.25">
      <c r="A53" s="9" t="s">
        <v>65</v>
      </c>
      <c r="B53" s="26">
        <f>IF(B4="EU08L",Leistungsdaten!B233,IF(B4="EU13L",Leistungsdaten!B234,))</f>
        <v>4.9325000000000001</v>
      </c>
      <c r="C53" s="27"/>
    </row>
    <row r="54" spans="1:6" x14ac:dyDescent="0.25">
      <c r="A54" s="9" t="s">
        <v>70</v>
      </c>
      <c r="B54" s="12">
        <f>'Temperaturstunden profile'!C46</f>
        <v>18000</v>
      </c>
      <c r="C54" s="27" t="s">
        <v>45</v>
      </c>
    </row>
    <row r="55" spans="1:6" x14ac:dyDescent="0.25">
      <c r="A55" s="9" t="s">
        <v>71</v>
      </c>
      <c r="B55" s="12">
        <f>B18/1000*1.163*365*30</f>
        <v>3565.7580000000003</v>
      </c>
      <c r="C55" s="27" t="s">
        <v>45</v>
      </c>
    </row>
    <row r="56" spans="1:6" x14ac:dyDescent="0.25">
      <c r="A56" s="9" t="s">
        <v>80</v>
      </c>
      <c r="B56" s="12">
        <f ca="1">B25*'Temperaturstunden profile'!B58</f>
        <v>366.95521594095993</v>
      </c>
      <c r="C56" s="27" t="s">
        <v>45</v>
      </c>
      <c r="F56" s="24"/>
    </row>
    <row r="57" spans="1:6" x14ac:dyDescent="0.25">
      <c r="A57" s="9" t="s">
        <v>78</v>
      </c>
      <c r="B57" s="12">
        <f ca="1">(B54-B56-B55)/B53*B8</f>
        <v>513.35258411163238</v>
      </c>
      <c r="C57" s="27" t="s">
        <v>81</v>
      </c>
    </row>
    <row r="58" spans="1:6" x14ac:dyDescent="0.25">
      <c r="A58" s="9" t="s">
        <v>79</v>
      </c>
      <c r="B58" s="12">
        <f>B55/Leistungsdaten!B235*'Planungstool Heizlast'!B8</f>
        <v>142.63031999999998</v>
      </c>
      <c r="C58" s="27" t="s">
        <v>81</v>
      </c>
    </row>
    <row r="59" spans="1:6" x14ac:dyDescent="0.25">
      <c r="A59" s="9" t="s">
        <v>80</v>
      </c>
      <c r="B59" s="12">
        <f ca="1">B56*B8</f>
        <v>66.05193886937279</v>
      </c>
      <c r="C59" s="27" t="s">
        <v>81</v>
      </c>
    </row>
    <row r="60" spans="1:6" ht="15.75" thickBot="1" x14ac:dyDescent="0.3">
      <c r="A60" s="28" t="s">
        <v>82</v>
      </c>
      <c r="B60" s="29">
        <f ca="1">SUM(B57:B59)</f>
        <v>722.03484298100511</v>
      </c>
      <c r="C60" s="30" t="s">
        <v>81</v>
      </c>
    </row>
    <row r="83" spans="1:2" x14ac:dyDescent="0.25">
      <c r="A83" s="17" t="s">
        <v>86</v>
      </c>
    </row>
    <row r="86" spans="1:2" x14ac:dyDescent="0.25">
      <c r="A86" s="14"/>
      <c r="B86" s="15" t="s">
        <v>27</v>
      </c>
    </row>
    <row r="87" spans="1:2" x14ac:dyDescent="0.25">
      <c r="B87" s="15" t="s">
        <v>58</v>
      </c>
    </row>
    <row r="88" spans="1:2" x14ac:dyDescent="0.25">
      <c r="B88" s="16" t="s">
        <v>59</v>
      </c>
    </row>
    <row r="89" spans="1:2" x14ac:dyDescent="0.25">
      <c r="B89" s="16" t="s">
        <v>28</v>
      </c>
    </row>
  </sheetData>
  <sheetProtection algorithmName="SHA-512" hashValue="5hi9nGRBJORJfYtLiajR4r9APg9wG2jOijIKPTVo66WY3djiiYg1hCB2mRNjNV7s6yTUlLhJZt1tZb5P6/qSfA==" saltValue="Ye4M4DQLI3iddF2W54UjWg==" spinCount="100000" sheet="1" objects="1" scenarios="1" selectLockedCells="1"/>
  <mergeCells count="4">
    <mergeCell ref="A16:C16"/>
    <mergeCell ref="A3:C3"/>
    <mergeCell ref="A52:C52"/>
    <mergeCell ref="A27:D28"/>
  </mergeCells>
  <dataValidations count="8">
    <dataValidation type="list" allowBlank="1" showInputMessage="1" showErrorMessage="1" sqref="B4" xr:uid="{EC780263-93E7-4676-BD19-045FC1701288}">
      <formula1>"EU13L, EU08L"</formula1>
    </dataValidation>
    <dataValidation type="list" allowBlank="1" showInputMessage="1" showErrorMessage="1" sqref="B11" xr:uid="{E356E6F0-6725-4B83-97AA-F37B7B40534C}">
      <formula1>"Passivhaus, Niedrigenergiehaus, Neubau, Bestand Gebäudehülle saniert, Bestand BJ &gt; 2000, Bestand BJ &gt; 1980, Bestand BJ &gt; 1960"</formula1>
    </dataValidation>
    <dataValidation type="list" allowBlank="1" showInputMessage="1" showErrorMessage="1" sqref="B14" xr:uid="{C060DB87-D7E3-4201-8036-FBBCADA563EC}">
      <formula1>"keiner, gering, mittel, hoch"</formula1>
    </dataValidation>
    <dataValidation type="list" allowBlank="1" showInputMessage="1" showErrorMessage="1" sqref="B13" xr:uid="{BC4ECCE2-BEB3-481C-B3D0-653AF5E938BA}">
      <formula1>"0,1,2,3,4,5,6,7,8,9,10,11,12,13,14,15,16,17,18,19,20"</formula1>
    </dataValidation>
    <dataValidation type="list" allowBlank="1" showInputMessage="1" showErrorMessage="1" sqref="B9" xr:uid="{2918E423-CE12-4C53-A1F5-F5E1EACA476B}">
      <formula1>"-5,-6,-7,-8,-9,-10,-11,-12,-13,-14,-15,-16,-17,-18,-19,-20,-22,-23"</formula1>
    </dataValidation>
    <dataValidation type="list" allowBlank="1" showInputMessage="1" showErrorMessage="1" sqref="B6" xr:uid="{7C8203A0-1E39-4FDF-A97A-FD47E5A76807}">
      <formula1>"spez. Heizlast,Heizlast,Ölverbrauch,Gasverbrauch"</formula1>
    </dataValidation>
    <dataValidation type="list" allowBlank="1" showInputMessage="1" showErrorMessage="1" sqref="B10" xr:uid="{CDD1A29E-9437-4EB5-AA64-3D1D5E51B3DF}">
      <formula1>"Fußbodenheizung 35°C, Niedertemperaturheizkörper 45°C, Heizkörper 55°C, Hochtemperaturheizkörper 65°C"</formula1>
    </dataValidation>
    <dataValidation type="list" allowBlank="1" showInputMessage="1" showErrorMessage="1" sqref="B5" xr:uid="{0B03E4B4-9C58-449E-BB09-8B5931E3C4E9}">
      <formula1>"1,2,3,4,5,6"</formula1>
    </dataValidation>
  </dataValidations>
  <hyperlinks>
    <hyperlink ref="B88" r:id="rId1" xr:uid="{42D750AD-CAC4-462F-BD3D-4E377C73AB34}"/>
    <hyperlink ref="B89" r:id="rId2" display="http://www.lambda-wp.at/" xr:uid="{339E10BC-E43F-430E-BFBF-45FD3AA1D473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D726-F356-4FFE-82FE-07040407C9D0}">
  <dimension ref="A1:N252"/>
  <sheetViews>
    <sheetView zoomScale="70" zoomScaleNormal="70" workbookViewId="0">
      <selection activeCell="K46" sqref="K46"/>
    </sheetView>
  </sheetViews>
  <sheetFormatPr baseColWidth="10" defaultRowHeight="15" x14ac:dyDescent="0.25"/>
  <cols>
    <col min="1" max="1" width="15.7109375" bestFit="1" customWidth="1"/>
    <col min="2" max="3" width="21.5703125" bestFit="1" customWidth="1"/>
    <col min="5" max="5" width="14.5703125" bestFit="1" customWidth="1"/>
    <col min="6" max="7" width="21.5703125" bestFit="1" customWidth="1"/>
    <col min="9" max="9" width="14.5703125" bestFit="1" customWidth="1"/>
    <col min="10" max="11" width="21.5703125" bestFit="1" customWidth="1"/>
  </cols>
  <sheetData>
    <row r="1" spans="1:12" x14ac:dyDescent="0.25">
      <c r="A1" t="s">
        <v>22</v>
      </c>
      <c r="B1" t="s">
        <v>20</v>
      </c>
      <c r="C1" t="s">
        <v>23</v>
      </c>
      <c r="E1" t="s">
        <v>22</v>
      </c>
      <c r="F1" t="s">
        <v>21</v>
      </c>
      <c r="G1" t="s">
        <v>23</v>
      </c>
      <c r="I1" t="s">
        <v>22</v>
      </c>
      <c r="J1" t="s">
        <v>31</v>
      </c>
      <c r="K1" t="s">
        <v>23</v>
      </c>
      <c r="L1" t="s">
        <v>32</v>
      </c>
    </row>
    <row r="2" spans="1:12" x14ac:dyDescent="0.25">
      <c r="A2">
        <v>-25.426162982617701</v>
      </c>
      <c r="B2">
        <v>5.15651001385279</v>
      </c>
      <c r="C2">
        <f>IF(A2&lt;'Planungstool Heizlast'!$B$9,'Planungstool Heizlast'!$B$22,IF(A2&gt;15,'Planungstool Heizlast'!$B$21,'Planungstool Heizlast'!$B$20/(15-'Planungstool Heizlast'!$B$9)*(15-Leistungsdaten!A2)+'Planungstool Heizlast'!$B$21))</f>
        <v>9.4666650248517392</v>
      </c>
      <c r="E2">
        <v>-22.884017253265799</v>
      </c>
      <c r="F2">
        <v>9.1909950002344605</v>
      </c>
      <c r="G2">
        <f>IF(E2&lt;'Planungstool Heizlast'!$B$9,'Planungstool Heizlast'!$B$22,IF(E2&gt;15,'Planungstool Heizlast'!$B$21,'Planungstool Heizlast'!$B$20/(15-'Planungstool Heizlast'!$B$9)*(15-Leistungsdaten!E2)+'Planungstool Heizlast'!$B$21))</f>
        <v>9.4666650248517392</v>
      </c>
      <c r="I2" s="1">
        <f>IF('Planungstool Heizlast'!$B$4="EU13L",Leistungsdaten!E2,IF('Planungstool Heizlast'!$B$4="EU08L",A2,""))</f>
        <v>-25.426162982617701</v>
      </c>
      <c r="J2" s="1">
        <f>IF(OR('Planungstool Heizlast'!$B$10="Fußbodenheizung 35°C",'Planungstool Heizlast'!$B$10="Niedertemperaturheizkörper 45°C"),IF('Planungstool Heizlast'!$B$4="EU13L",Leistungsdaten!F2,IF('Planungstool Heizlast'!$B$4="EU08L",Leistungsdaten!B2,"")),IF('Planungstool Heizlast'!$B$4="EU13L",Leistungsdaten!F2,IF('Planungstool Heizlast'!$B$4="EU08L",Leistungsdaten!B2,""))*0.9)*'Planungstool Heizlast'!$B$5</f>
        <v>5.15651001385279</v>
      </c>
      <c r="K2" s="1">
        <f>IF('Planungstool Heizlast'!$B$4="EU13L",Leistungsdaten!G2,IF('Planungstool Heizlast'!$B$4="EU08L",Leistungsdaten!C2,""))*$B$237</f>
        <v>10.413331527336913</v>
      </c>
      <c r="L2" s="1">
        <f>J2-K2</f>
        <v>-5.2568215134841232</v>
      </c>
    </row>
    <row r="3" spans="1:12" x14ac:dyDescent="0.25">
      <c r="A3">
        <v>-25.215545410933402</v>
      </c>
      <c r="B3">
        <v>5.1907939117668898</v>
      </c>
      <c r="C3">
        <f>IF(A3&lt;'Planungstool Heizlast'!$B$9,'Planungstool Heizlast'!$B$22,IF(A3&gt;15,'Planungstool Heizlast'!$B$21,'Planungstool Heizlast'!$B$20/(15-'Planungstool Heizlast'!$B$9)*(15-Leistungsdaten!A3)+'Planungstool Heizlast'!$B$21))</f>
        <v>9.4666650248517392</v>
      </c>
      <c r="E3">
        <v>-22.66284218853</v>
      </c>
      <c r="F3">
        <v>9.2467707228961906</v>
      </c>
      <c r="G3">
        <f>IF(E3&lt;'Planungstool Heizlast'!$B$9,'Planungstool Heizlast'!$B$22,IF(E3&gt;15,'Planungstool Heizlast'!$B$21,'Planungstool Heizlast'!$B$20/(15-'Planungstool Heizlast'!$B$9)*(15-Leistungsdaten!E3)+'Planungstool Heizlast'!$B$21))</f>
        <v>9.4666650248517392</v>
      </c>
      <c r="I3" s="1">
        <f>IF('Planungstool Heizlast'!$B$4="EU13L",Leistungsdaten!E3,IF('Planungstool Heizlast'!$B$4="EU08L",A3,""))</f>
        <v>-25.215545410933402</v>
      </c>
      <c r="J3" s="1">
        <f>IF(OR('Planungstool Heizlast'!$B$10="Fußbodenheizung 35°C",'Planungstool Heizlast'!$B$10="Niedertemperaturheizkörper 45°C"),IF('Planungstool Heizlast'!$B$4="EU13L",Leistungsdaten!F3,IF('Planungstool Heizlast'!$B$4="EU08L",Leistungsdaten!B3,"")),IF('Planungstool Heizlast'!$B$4="EU13L",Leistungsdaten!F3,IF('Planungstool Heizlast'!$B$4="EU08L",Leistungsdaten!B3,""))*0.9)*'Planungstool Heizlast'!$B$5</f>
        <v>5.1907939117668898</v>
      </c>
      <c r="K3" s="1">
        <f>IF('Planungstool Heizlast'!$B$4="EU13L",Leistungsdaten!G3,IF('Planungstool Heizlast'!$B$4="EU08L",Leistungsdaten!C3,""))*$B$237</f>
        <v>10.413331527336913</v>
      </c>
      <c r="L3" s="1">
        <f t="shared" ref="L3:L20" si="0">J3-K3</f>
        <v>-5.2225376155700234</v>
      </c>
    </row>
    <row r="4" spans="1:12" x14ac:dyDescent="0.25">
      <c r="A4">
        <v>-25.004927839249099</v>
      </c>
      <c r="B4">
        <v>5.2250778096809896</v>
      </c>
      <c r="C4">
        <f>IF(A4&lt;'Planungstool Heizlast'!$B$9,'Planungstool Heizlast'!$B$22,IF(A4&gt;15,'Planungstool Heizlast'!$B$21,'Planungstool Heizlast'!$B$20/(15-'Planungstool Heizlast'!$B$9)*(15-Leistungsdaten!A4)+'Planungstool Heizlast'!$B$21))</f>
        <v>9.4666650248517392</v>
      </c>
      <c r="E4">
        <v>-22.4416671237942</v>
      </c>
      <c r="F4">
        <v>9.3025464455579208</v>
      </c>
      <c r="G4">
        <f>IF(E4&lt;'Planungstool Heizlast'!$B$9,'Planungstool Heizlast'!$B$22,IF(E4&gt;15,'Planungstool Heizlast'!$B$21,'Planungstool Heizlast'!$B$20/(15-'Planungstool Heizlast'!$B$9)*(15-Leistungsdaten!E4)+'Planungstool Heizlast'!$B$21))</f>
        <v>9.4666650248517392</v>
      </c>
      <c r="I4" s="1">
        <f>IF('Planungstool Heizlast'!$B$4="EU13L",Leistungsdaten!E4,IF('Planungstool Heizlast'!$B$4="EU08L",A4,""))</f>
        <v>-25.004927839249099</v>
      </c>
      <c r="J4" s="1">
        <f>IF(OR('Planungstool Heizlast'!$B$10="Fußbodenheizung 35°C",'Planungstool Heizlast'!$B$10="Niedertemperaturheizkörper 45°C"),IF('Planungstool Heizlast'!$B$4="EU13L",Leistungsdaten!F4,IF('Planungstool Heizlast'!$B$4="EU08L",Leistungsdaten!B4,"")),IF('Planungstool Heizlast'!$B$4="EU13L",Leistungsdaten!F4,IF('Planungstool Heizlast'!$B$4="EU08L",Leistungsdaten!B4,""))*0.9)*'Planungstool Heizlast'!$B$5</f>
        <v>5.2250778096809896</v>
      </c>
      <c r="K4" s="1">
        <f>IF('Planungstool Heizlast'!$B$4="EU13L",Leistungsdaten!G4,IF('Planungstool Heizlast'!$B$4="EU08L",Leistungsdaten!C4,""))*$B$237</f>
        <v>10.413331527336913</v>
      </c>
      <c r="L4" s="1">
        <f t="shared" si="0"/>
        <v>-5.1882537176559236</v>
      </c>
    </row>
    <row r="5" spans="1:12" x14ac:dyDescent="0.25">
      <c r="A5">
        <v>-24.7943102675648</v>
      </c>
      <c r="B5">
        <v>5.2593617075950903</v>
      </c>
      <c r="C5">
        <f>IF(A5&lt;'Planungstool Heizlast'!$B$9,'Planungstool Heizlast'!$B$22,IF(A5&gt;15,'Planungstool Heizlast'!$B$21,'Planungstool Heizlast'!$B$20/(15-'Planungstool Heizlast'!$B$9)*(15-Leistungsdaten!A5)+'Planungstool Heizlast'!$B$21))</f>
        <v>9.4666650248517392</v>
      </c>
      <c r="E5">
        <v>-22.220492059058401</v>
      </c>
      <c r="F5">
        <v>9.3583221682196491</v>
      </c>
      <c r="G5">
        <f>IF(E5&lt;'Planungstool Heizlast'!$B$9,'Planungstool Heizlast'!$B$22,IF(E5&gt;15,'Planungstool Heizlast'!$B$21,'Planungstool Heizlast'!$B$20/(15-'Planungstool Heizlast'!$B$9)*(15-Leistungsdaten!E5)+'Planungstool Heizlast'!$B$21))</f>
        <v>9.4666650248517392</v>
      </c>
      <c r="I5" s="1">
        <f>IF('Planungstool Heizlast'!$B$4="EU13L",Leistungsdaten!E5,IF('Planungstool Heizlast'!$B$4="EU08L",A5,""))</f>
        <v>-24.7943102675648</v>
      </c>
      <c r="J5" s="1">
        <f>IF(OR('Planungstool Heizlast'!$B$10="Fußbodenheizung 35°C",'Planungstool Heizlast'!$B$10="Niedertemperaturheizkörper 45°C"),IF('Planungstool Heizlast'!$B$4="EU13L",Leistungsdaten!F5,IF('Planungstool Heizlast'!$B$4="EU08L",Leistungsdaten!B5,"")),IF('Planungstool Heizlast'!$B$4="EU13L",Leistungsdaten!F5,IF('Planungstool Heizlast'!$B$4="EU08L",Leistungsdaten!B5,""))*0.9)*'Planungstool Heizlast'!$B$5</f>
        <v>5.2593617075950903</v>
      </c>
      <c r="K5" s="1">
        <f>IF('Planungstool Heizlast'!$B$4="EU13L",Leistungsdaten!G5,IF('Planungstool Heizlast'!$B$4="EU08L",Leistungsdaten!C5,""))*$B$237</f>
        <v>10.413331527336913</v>
      </c>
      <c r="L5" s="1">
        <f t="shared" si="0"/>
        <v>-5.1539698197418229</v>
      </c>
    </row>
    <row r="6" spans="1:12" x14ac:dyDescent="0.25">
      <c r="A6">
        <v>-24.583692695880501</v>
      </c>
      <c r="B6">
        <v>5.2936456055091901</v>
      </c>
      <c r="C6">
        <f>IF(A6&lt;'Planungstool Heizlast'!$B$9,'Planungstool Heizlast'!$B$22,IF(A6&gt;15,'Planungstool Heizlast'!$B$21,'Planungstool Heizlast'!$B$20/(15-'Planungstool Heizlast'!$B$9)*(15-Leistungsdaten!A6)+'Planungstool Heizlast'!$B$21))</f>
        <v>9.4666650248517392</v>
      </c>
      <c r="E6">
        <v>-21.999316994322601</v>
      </c>
      <c r="F6">
        <v>9.4140978908813793</v>
      </c>
      <c r="G6">
        <f>IF(E6&lt;'Planungstool Heizlast'!$B$9,'Planungstool Heizlast'!$B$22,IF(E6&gt;15,'Planungstool Heizlast'!$B$21,'Planungstool Heizlast'!$B$20/(15-'Planungstool Heizlast'!$B$9)*(15-Leistungsdaten!E6)+'Planungstool Heizlast'!$B$21))</f>
        <v>9.4666650248517392</v>
      </c>
      <c r="I6" s="1">
        <f>IF('Planungstool Heizlast'!$B$4="EU13L",Leistungsdaten!E6,IF('Planungstool Heizlast'!$B$4="EU08L",A6,""))</f>
        <v>-24.583692695880501</v>
      </c>
      <c r="J6" s="1">
        <f>IF(OR('Planungstool Heizlast'!$B$10="Fußbodenheizung 35°C",'Planungstool Heizlast'!$B$10="Niedertemperaturheizkörper 45°C"),IF('Planungstool Heizlast'!$B$4="EU13L",Leistungsdaten!F6,IF('Planungstool Heizlast'!$B$4="EU08L",Leistungsdaten!B6,"")),IF('Planungstool Heizlast'!$B$4="EU13L",Leistungsdaten!F6,IF('Planungstool Heizlast'!$B$4="EU08L",Leistungsdaten!B6,""))*0.9)*'Planungstool Heizlast'!$B$5</f>
        <v>5.2936456055091901</v>
      </c>
      <c r="K6" s="1">
        <f>IF('Planungstool Heizlast'!$B$4="EU13L",Leistungsdaten!G6,IF('Planungstool Heizlast'!$B$4="EU08L",Leistungsdaten!C6,""))*$B$237</f>
        <v>10.413331527336913</v>
      </c>
      <c r="L6" s="1">
        <f t="shared" si="0"/>
        <v>-5.1196859218277231</v>
      </c>
    </row>
    <row r="7" spans="1:12" x14ac:dyDescent="0.25">
      <c r="A7">
        <v>-24.373075124196198</v>
      </c>
      <c r="B7">
        <v>5.3279295034232899</v>
      </c>
      <c r="C7">
        <f>IF(A7&lt;'Planungstool Heizlast'!$B$9,'Planungstool Heizlast'!$B$22,IF(A7&gt;15,'Planungstool Heizlast'!$B$21,'Planungstool Heizlast'!$B$20/(15-'Planungstool Heizlast'!$B$9)*(15-Leistungsdaten!A7)+'Planungstool Heizlast'!$B$21))</f>
        <v>9.4666650248517392</v>
      </c>
      <c r="E7">
        <v>-21.778141929586798</v>
      </c>
      <c r="F7">
        <v>9.4698736135431094</v>
      </c>
      <c r="G7">
        <f>IF(E7&lt;'Planungstool Heizlast'!$B$9,'Planungstool Heizlast'!$B$22,IF(E7&gt;15,'Planungstool Heizlast'!$B$21,'Planungstool Heizlast'!$B$20/(15-'Planungstool Heizlast'!$B$9)*(15-Leistungsdaten!E7)+'Planungstool Heizlast'!$B$21))</f>
        <v>9.4666650248517392</v>
      </c>
      <c r="I7" s="1">
        <f>IF('Planungstool Heizlast'!$B$4="EU13L",Leistungsdaten!E7,IF('Planungstool Heizlast'!$B$4="EU08L",A7,""))</f>
        <v>-24.373075124196198</v>
      </c>
      <c r="J7" s="1">
        <f>IF(OR('Planungstool Heizlast'!$B$10="Fußbodenheizung 35°C",'Planungstool Heizlast'!$B$10="Niedertemperaturheizkörper 45°C"),IF('Planungstool Heizlast'!$B$4="EU13L",Leistungsdaten!F7,IF('Planungstool Heizlast'!$B$4="EU08L",Leistungsdaten!B7,"")),IF('Planungstool Heizlast'!$B$4="EU13L",Leistungsdaten!F7,IF('Planungstool Heizlast'!$B$4="EU08L",Leistungsdaten!B7,""))*0.9)*'Planungstool Heizlast'!$B$5</f>
        <v>5.3279295034232899</v>
      </c>
      <c r="K7" s="1">
        <f>IF('Planungstool Heizlast'!$B$4="EU13L",Leistungsdaten!G7,IF('Planungstool Heizlast'!$B$4="EU08L",Leistungsdaten!C7,""))*$B$237</f>
        <v>10.413331527336913</v>
      </c>
      <c r="L7" s="1">
        <f t="shared" si="0"/>
        <v>-5.0854020239136233</v>
      </c>
    </row>
    <row r="8" spans="1:12" x14ac:dyDescent="0.25">
      <c r="A8">
        <v>-24.162457552511899</v>
      </c>
      <c r="B8">
        <v>5.3622134013373897</v>
      </c>
      <c r="C8">
        <f>IF(A8&lt;'Planungstool Heizlast'!$B$9,'Planungstool Heizlast'!$B$22,IF(A8&gt;15,'Planungstool Heizlast'!$B$21,'Planungstool Heizlast'!$B$20/(15-'Planungstool Heizlast'!$B$9)*(15-Leistungsdaten!A8)+'Planungstool Heizlast'!$B$21))</f>
        <v>9.4666650248517392</v>
      </c>
      <c r="E8">
        <v>-21.556966864850999</v>
      </c>
      <c r="F8">
        <v>9.5256493362048396</v>
      </c>
      <c r="G8">
        <f>IF(E8&lt;'Planungstool Heizlast'!$B$9,'Planungstool Heizlast'!$B$22,IF(E8&gt;15,'Planungstool Heizlast'!$B$21,'Planungstool Heizlast'!$B$20/(15-'Planungstool Heizlast'!$B$9)*(15-Leistungsdaten!E8)+'Planungstool Heizlast'!$B$21))</f>
        <v>9.4666650248517392</v>
      </c>
      <c r="I8" s="1">
        <f>IF('Planungstool Heizlast'!$B$4="EU13L",Leistungsdaten!E8,IF('Planungstool Heizlast'!$B$4="EU08L",A8,""))</f>
        <v>-24.162457552511899</v>
      </c>
      <c r="J8" s="1">
        <f>IF(OR('Planungstool Heizlast'!$B$10="Fußbodenheizung 35°C",'Planungstool Heizlast'!$B$10="Niedertemperaturheizkörper 45°C"),IF('Planungstool Heizlast'!$B$4="EU13L",Leistungsdaten!F8,IF('Planungstool Heizlast'!$B$4="EU08L",Leistungsdaten!B8,"")),IF('Planungstool Heizlast'!$B$4="EU13L",Leistungsdaten!F8,IF('Planungstool Heizlast'!$B$4="EU08L",Leistungsdaten!B8,""))*0.9)*'Planungstool Heizlast'!$B$5</f>
        <v>5.3622134013373897</v>
      </c>
      <c r="K8" s="1">
        <f>IF('Planungstool Heizlast'!$B$4="EU13L",Leistungsdaten!G8,IF('Planungstool Heizlast'!$B$4="EU08L",Leistungsdaten!C8,""))*$B$237</f>
        <v>10.413331527336913</v>
      </c>
      <c r="L8" s="1">
        <f t="shared" si="0"/>
        <v>-5.0511181259995235</v>
      </c>
    </row>
    <row r="9" spans="1:12" x14ac:dyDescent="0.25">
      <c r="A9">
        <v>-23.9518399808276</v>
      </c>
      <c r="B9">
        <v>5.3964972992514904</v>
      </c>
      <c r="C9">
        <f>IF(A9&lt;'Planungstool Heizlast'!$B$9,'Planungstool Heizlast'!$B$22,IF(A9&gt;15,'Planungstool Heizlast'!$B$21,'Planungstool Heizlast'!$B$20/(15-'Planungstool Heizlast'!$B$9)*(15-Leistungsdaten!A9)+'Planungstool Heizlast'!$B$21))</f>
        <v>9.4666650248517392</v>
      </c>
      <c r="E9">
        <v>-21.335791800115199</v>
      </c>
      <c r="F9">
        <v>9.5814250588665697</v>
      </c>
      <c r="G9">
        <f>IF(E9&lt;'Planungstool Heizlast'!$B$9,'Planungstool Heizlast'!$B$22,IF(E9&gt;15,'Planungstool Heizlast'!$B$21,'Planungstool Heizlast'!$B$20/(15-'Planungstool Heizlast'!$B$9)*(15-Leistungsdaten!E9)+'Planungstool Heizlast'!$B$21))</f>
        <v>9.4666650248517392</v>
      </c>
      <c r="I9" s="1">
        <f>IF('Planungstool Heizlast'!$B$4="EU13L",Leistungsdaten!E9,IF('Planungstool Heizlast'!$B$4="EU08L",A9,""))</f>
        <v>-23.9518399808276</v>
      </c>
      <c r="J9" s="1">
        <f>IF(OR('Planungstool Heizlast'!$B$10="Fußbodenheizung 35°C",'Planungstool Heizlast'!$B$10="Niedertemperaturheizkörper 45°C"),IF('Planungstool Heizlast'!$B$4="EU13L",Leistungsdaten!F9,IF('Planungstool Heizlast'!$B$4="EU08L",Leistungsdaten!B9,"")),IF('Planungstool Heizlast'!$B$4="EU13L",Leistungsdaten!F9,IF('Planungstool Heizlast'!$B$4="EU08L",Leistungsdaten!B9,""))*0.9)*'Planungstool Heizlast'!$B$5</f>
        <v>5.3964972992514904</v>
      </c>
      <c r="K9" s="1">
        <f>IF('Planungstool Heizlast'!$B$4="EU13L",Leistungsdaten!G9,IF('Planungstool Heizlast'!$B$4="EU08L",Leistungsdaten!C9,""))*$B$237</f>
        <v>10.413331527336913</v>
      </c>
      <c r="L9" s="1">
        <f t="shared" si="0"/>
        <v>-5.0168342280854228</v>
      </c>
    </row>
    <row r="10" spans="1:12" x14ac:dyDescent="0.25">
      <c r="A10">
        <v>-23.741222409143301</v>
      </c>
      <c r="B10">
        <v>5.4307811971655902</v>
      </c>
      <c r="C10">
        <f>IF(A10&lt;'Planungstool Heizlast'!$B$9,'Planungstool Heizlast'!$B$22,IF(A10&gt;15,'Planungstool Heizlast'!$B$21,'Planungstool Heizlast'!$B$20/(15-'Planungstool Heizlast'!$B$9)*(15-Leistungsdaten!A10)+'Planungstool Heizlast'!$B$21))</f>
        <v>9.4666650248517392</v>
      </c>
      <c r="E10">
        <v>-21.1146167353794</v>
      </c>
      <c r="F10">
        <v>9.6372007815282998</v>
      </c>
      <c r="G10">
        <f>IF(E10&lt;'Planungstool Heizlast'!$B$9,'Planungstool Heizlast'!$B$22,IF(E10&gt;15,'Planungstool Heizlast'!$B$21,'Planungstool Heizlast'!$B$20/(15-'Planungstool Heizlast'!$B$9)*(15-Leistungsdaten!E10)+'Planungstool Heizlast'!$B$21))</f>
        <v>9.4666650248517392</v>
      </c>
      <c r="I10" s="1">
        <f>IF('Planungstool Heizlast'!$B$4="EU13L",Leistungsdaten!E10,IF('Planungstool Heizlast'!$B$4="EU08L",A10,""))</f>
        <v>-23.741222409143301</v>
      </c>
      <c r="J10" s="1">
        <f>IF(OR('Planungstool Heizlast'!$B$10="Fußbodenheizung 35°C",'Planungstool Heizlast'!$B$10="Niedertemperaturheizkörper 45°C"),IF('Planungstool Heizlast'!$B$4="EU13L",Leistungsdaten!F10,IF('Planungstool Heizlast'!$B$4="EU08L",Leistungsdaten!B10,"")),IF('Planungstool Heizlast'!$B$4="EU13L",Leistungsdaten!F10,IF('Planungstool Heizlast'!$B$4="EU08L",Leistungsdaten!B10,""))*0.9)*'Planungstool Heizlast'!$B$5</f>
        <v>5.4307811971655902</v>
      </c>
      <c r="K10" s="1">
        <f>IF('Planungstool Heizlast'!$B$4="EU13L",Leistungsdaten!G10,IF('Planungstool Heizlast'!$B$4="EU08L",Leistungsdaten!C10,""))*$B$237</f>
        <v>10.413331527336913</v>
      </c>
      <c r="L10" s="1">
        <f t="shared" si="0"/>
        <v>-4.982550330171323</v>
      </c>
    </row>
    <row r="11" spans="1:12" x14ac:dyDescent="0.25">
      <c r="A11">
        <v>-23.530604837458998</v>
      </c>
      <c r="B11">
        <v>5.46506509507969</v>
      </c>
      <c r="C11">
        <f>IF(A11&lt;'Planungstool Heizlast'!$B$9,'Planungstool Heizlast'!$B$22,IF(A11&gt;15,'Planungstool Heizlast'!$B$21,'Planungstool Heizlast'!$B$20/(15-'Planungstool Heizlast'!$B$9)*(15-Leistungsdaten!A11)+'Planungstool Heizlast'!$B$21))</f>
        <v>9.4666650248517392</v>
      </c>
      <c r="E11">
        <v>-20.8934416706436</v>
      </c>
      <c r="F11">
        <v>9.69297650419003</v>
      </c>
      <c r="G11">
        <f>IF(E11&lt;'Planungstool Heizlast'!$B$9,'Planungstool Heizlast'!$B$22,IF(E11&gt;15,'Planungstool Heizlast'!$B$21,'Planungstool Heizlast'!$B$20/(15-'Planungstool Heizlast'!$B$9)*(15-Leistungsdaten!E11)+'Planungstool Heizlast'!$B$21))</f>
        <v>9.4666650248517392</v>
      </c>
      <c r="I11" s="1">
        <f>IF('Planungstool Heizlast'!$B$4="EU13L",Leistungsdaten!E11,IF('Planungstool Heizlast'!$B$4="EU08L",A11,""))</f>
        <v>-23.530604837458998</v>
      </c>
      <c r="J11" s="1">
        <f>IF(OR('Planungstool Heizlast'!$B$10="Fußbodenheizung 35°C",'Planungstool Heizlast'!$B$10="Niedertemperaturheizkörper 45°C"),IF('Planungstool Heizlast'!$B$4="EU13L",Leistungsdaten!F11,IF('Planungstool Heizlast'!$B$4="EU08L",Leistungsdaten!B11,"")),IF('Planungstool Heizlast'!$B$4="EU13L",Leistungsdaten!F11,IF('Planungstool Heizlast'!$B$4="EU08L",Leistungsdaten!B11,""))*0.9)*'Planungstool Heizlast'!$B$5</f>
        <v>5.46506509507969</v>
      </c>
      <c r="K11" s="1">
        <f>IF('Planungstool Heizlast'!$B$4="EU13L",Leistungsdaten!G11,IF('Planungstool Heizlast'!$B$4="EU08L",Leistungsdaten!C11,""))*$B$237</f>
        <v>10.413331527336913</v>
      </c>
      <c r="L11" s="1">
        <f t="shared" si="0"/>
        <v>-4.9482664322572232</v>
      </c>
    </row>
    <row r="12" spans="1:12" x14ac:dyDescent="0.25">
      <c r="A12">
        <v>-23.319987265774699</v>
      </c>
      <c r="B12">
        <v>5.4993489929937898</v>
      </c>
      <c r="C12">
        <f>IF(A12&lt;'Planungstool Heizlast'!$B$9,'Planungstool Heizlast'!$B$22,IF(A12&gt;15,'Planungstool Heizlast'!$B$21,'Planungstool Heizlast'!$B$20/(15-'Planungstool Heizlast'!$B$9)*(15-Leistungsdaten!A12)+'Planungstool Heizlast'!$B$21))</f>
        <v>9.4666650248517392</v>
      </c>
      <c r="E12">
        <v>-20.672266605907801</v>
      </c>
      <c r="F12">
        <v>9.7487522268517601</v>
      </c>
      <c r="G12">
        <f>IF(E12&lt;'Planungstool Heizlast'!$B$9,'Planungstool Heizlast'!$B$22,IF(E12&gt;15,'Planungstool Heizlast'!$B$21,'Planungstool Heizlast'!$B$20/(15-'Planungstool Heizlast'!$B$9)*(15-Leistungsdaten!E12)+'Planungstool Heizlast'!$B$21))</f>
        <v>9.4666650248517392</v>
      </c>
      <c r="I12" s="1">
        <f>IF('Planungstool Heizlast'!$B$4="EU13L",Leistungsdaten!E12,IF('Planungstool Heizlast'!$B$4="EU08L",A12,""))</f>
        <v>-23.319987265774699</v>
      </c>
      <c r="J12" s="1">
        <f>IF(OR('Planungstool Heizlast'!$B$10="Fußbodenheizung 35°C",'Planungstool Heizlast'!$B$10="Niedertemperaturheizkörper 45°C"),IF('Planungstool Heizlast'!$B$4="EU13L",Leistungsdaten!F12,IF('Planungstool Heizlast'!$B$4="EU08L",Leistungsdaten!B12,"")),IF('Planungstool Heizlast'!$B$4="EU13L",Leistungsdaten!F12,IF('Planungstool Heizlast'!$B$4="EU08L",Leistungsdaten!B12,""))*0.9)*'Planungstool Heizlast'!$B$5</f>
        <v>5.4993489929937898</v>
      </c>
      <c r="K12" s="1">
        <f>IF('Planungstool Heizlast'!$B$4="EU13L",Leistungsdaten!G12,IF('Planungstool Heizlast'!$B$4="EU08L",Leistungsdaten!C12,""))*$B$237</f>
        <v>10.413331527336913</v>
      </c>
      <c r="L12" s="1">
        <f t="shared" si="0"/>
        <v>-4.9139825343431234</v>
      </c>
    </row>
    <row r="13" spans="1:12" x14ac:dyDescent="0.25">
      <c r="A13">
        <v>-23.1093696940904</v>
      </c>
      <c r="B13">
        <v>5.5336328909078896</v>
      </c>
      <c r="C13">
        <f>IF(A13&lt;'Planungstool Heizlast'!$B$9,'Planungstool Heizlast'!$B$22,IF(A13&gt;15,'Planungstool Heizlast'!$B$21,'Planungstool Heizlast'!$B$20/(15-'Planungstool Heizlast'!$B$9)*(15-Leistungsdaten!A13)+'Planungstool Heizlast'!$B$21))</f>
        <v>9.4666650248517392</v>
      </c>
      <c r="E13">
        <v>-20.451091541172001</v>
      </c>
      <c r="F13">
        <v>9.8045279495134903</v>
      </c>
      <c r="G13">
        <f>IF(E13&lt;'Planungstool Heizlast'!$B$9,'Planungstool Heizlast'!$B$22,IF(E13&gt;15,'Planungstool Heizlast'!$B$21,'Planungstool Heizlast'!$B$20/(15-'Planungstool Heizlast'!$B$9)*(15-Leistungsdaten!E13)+'Planungstool Heizlast'!$B$21))</f>
        <v>9.4666650248517392</v>
      </c>
      <c r="I13" s="1">
        <f>IF('Planungstool Heizlast'!$B$4="EU13L",Leistungsdaten!E13,IF('Planungstool Heizlast'!$B$4="EU08L",A13,""))</f>
        <v>-23.1093696940904</v>
      </c>
      <c r="J13" s="1">
        <f>IF(OR('Planungstool Heizlast'!$B$10="Fußbodenheizung 35°C",'Planungstool Heizlast'!$B$10="Niedertemperaturheizkörper 45°C"),IF('Planungstool Heizlast'!$B$4="EU13L",Leistungsdaten!F13,IF('Planungstool Heizlast'!$B$4="EU08L",Leistungsdaten!B13,"")),IF('Planungstool Heizlast'!$B$4="EU13L",Leistungsdaten!F13,IF('Planungstool Heizlast'!$B$4="EU08L",Leistungsdaten!B13,""))*0.9)*'Planungstool Heizlast'!$B$5</f>
        <v>5.5336328909078896</v>
      </c>
      <c r="K13" s="1">
        <f>IF('Planungstool Heizlast'!$B$4="EU13L",Leistungsdaten!G13,IF('Planungstool Heizlast'!$B$4="EU08L",Leistungsdaten!C13,""))*$B$237</f>
        <v>10.413331527336913</v>
      </c>
      <c r="L13" s="1">
        <f t="shared" si="0"/>
        <v>-4.8796986364290236</v>
      </c>
    </row>
    <row r="14" spans="1:12" x14ac:dyDescent="0.25">
      <c r="A14">
        <v>-22.898752122406101</v>
      </c>
      <c r="B14">
        <v>5.5679167888219903</v>
      </c>
      <c r="C14">
        <f>IF(A14&lt;'Planungstool Heizlast'!$B$9,'Planungstool Heizlast'!$B$22,IF(A14&gt;15,'Planungstool Heizlast'!$B$21,'Planungstool Heizlast'!$B$20/(15-'Planungstool Heizlast'!$B$9)*(15-Leistungsdaten!A14)+'Planungstool Heizlast'!$B$21))</f>
        <v>9.4666650248517392</v>
      </c>
      <c r="E14">
        <v>-20.229916476436198</v>
      </c>
      <c r="F14">
        <v>9.8603036721752204</v>
      </c>
      <c r="G14">
        <f>IF(E14&lt;'Planungstool Heizlast'!$B$9,'Planungstool Heizlast'!$B$22,IF(E14&gt;15,'Planungstool Heizlast'!$B$21,'Planungstool Heizlast'!$B$20/(15-'Planungstool Heizlast'!$B$9)*(15-Leistungsdaten!E14)+'Planungstool Heizlast'!$B$21))</f>
        <v>9.4666650248517392</v>
      </c>
      <c r="I14" s="1">
        <f>IF('Planungstool Heizlast'!$B$4="EU13L",Leistungsdaten!E14,IF('Planungstool Heizlast'!$B$4="EU08L",A14,""))</f>
        <v>-22.898752122406101</v>
      </c>
      <c r="J14" s="1">
        <f>IF(OR('Planungstool Heizlast'!$B$10="Fußbodenheizung 35°C",'Planungstool Heizlast'!$B$10="Niedertemperaturheizkörper 45°C"),IF('Planungstool Heizlast'!$B$4="EU13L",Leistungsdaten!F14,IF('Planungstool Heizlast'!$B$4="EU08L",Leistungsdaten!B14,"")),IF('Planungstool Heizlast'!$B$4="EU13L",Leistungsdaten!F14,IF('Planungstool Heizlast'!$B$4="EU08L",Leistungsdaten!B14,""))*0.9)*'Planungstool Heizlast'!$B$5</f>
        <v>5.5679167888219903</v>
      </c>
      <c r="K14" s="1">
        <f>IF('Planungstool Heizlast'!$B$4="EU13L",Leistungsdaten!G14,IF('Planungstool Heizlast'!$B$4="EU08L",Leistungsdaten!C14,""))*$B$237</f>
        <v>10.413331527336913</v>
      </c>
      <c r="L14" s="1">
        <f t="shared" si="0"/>
        <v>-4.8454147385149229</v>
      </c>
    </row>
    <row r="15" spans="1:12" x14ac:dyDescent="0.25">
      <c r="A15">
        <v>-22.688134550721799</v>
      </c>
      <c r="B15">
        <v>5.6022006867360901</v>
      </c>
      <c r="C15">
        <f>IF(A15&lt;'Planungstool Heizlast'!$B$9,'Planungstool Heizlast'!$B$22,IF(A15&gt;15,'Planungstool Heizlast'!$B$21,'Planungstool Heizlast'!$B$20/(15-'Planungstool Heizlast'!$B$9)*(15-Leistungsdaten!A15)+'Planungstool Heizlast'!$B$21))</f>
        <v>9.4666650248517392</v>
      </c>
      <c r="E15">
        <v>-20.008741411700399</v>
      </c>
      <c r="F15">
        <v>9.9160793948369506</v>
      </c>
      <c r="G15">
        <f>IF(E15&lt;'Planungstool Heizlast'!$B$9,'Planungstool Heizlast'!$B$22,IF(E15&gt;15,'Planungstool Heizlast'!$B$21,'Planungstool Heizlast'!$B$20/(15-'Planungstool Heizlast'!$B$9)*(15-Leistungsdaten!E15)+'Planungstool Heizlast'!$B$21))</f>
        <v>9.4666650248517392</v>
      </c>
      <c r="I15" s="1">
        <f>IF('Planungstool Heizlast'!$B$4="EU13L",Leistungsdaten!E15,IF('Planungstool Heizlast'!$B$4="EU08L",A15,""))</f>
        <v>-22.688134550721799</v>
      </c>
      <c r="J15" s="1">
        <f>IF(OR('Planungstool Heizlast'!$B$10="Fußbodenheizung 35°C",'Planungstool Heizlast'!$B$10="Niedertemperaturheizkörper 45°C"),IF('Planungstool Heizlast'!$B$4="EU13L",Leistungsdaten!F15,IF('Planungstool Heizlast'!$B$4="EU08L",Leistungsdaten!B15,"")),IF('Planungstool Heizlast'!$B$4="EU13L",Leistungsdaten!F15,IF('Planungstool Heizlast'!$B$4="EU08L",Leistungsdaten!B15,""))*0.9)*'Planungstool Heizlast'!$B$5</f>
        <v>5.6022006867360901</v>
      </c>
      <c r="K15" s="1">
        <f>IF('Planungstool Heizlast'!$B$4="EU13L",Leistungsdaten!G15,IF('Planungstool Heizlast'!$B$4="EU08L",Leistungsdaten!C15,""))*$B$237</f>
        <v>10.413331527336913</v>
      </c>
      <c r="L15" s="1">
        <f t="shared" si="0"/>
        <v>-4.8111308406008231</v>
      </c>
    </row>
    <row r="16" spans="1:12" x14ac:dyDescent="0.25">
      <c r="A16">
        <v>-22.4775169790375</v>
      </c>
      <c r="B16">
        <v>5.6364845846501899</v>
      </c>
      <c r="C16">
        <f>IF(A16&lt;'Planungstool Heizlast'!$B$9,'Planungstool Heizlast'!$B$22,IF(A16&gt;15,'Planungstool Heizlast'!$B$21,'Planungstool Heizlast'!$B$20/(15-'Planungstool Heizlast'!$B$9)*(15-Leistungsdaten!A16)+'Planungstool Heizlast'!$B$21))</f>
        <v>9.4666650248517392</v>
      </c>
      <c r="E16">
        <v>-19.787447777202999</v>
      </c>
      <c r="F16">
        <v>9.9719623496320295</v>
      </c>
      <c r="G16">
        <f>IF(E16&lt;'Planungstool Heizlast'!$B$9,'Planungstool Heizlast'!$B$22,IF(E16&gt;15,'Planungstool Heizlast'!$B$21,'Planungstool Heizlast'!$B$20/(15-'Planungstool Heizlast'!$B$9)*(15-Leistungsdaten!E16)+'Planungstool Heizlast'!$B$21))</f>
        <v>9.4666650248517392</v>
      </c>
      <c r="I16" s="1">
        <f>IF('Planungstool Heizlast'!$B$4="EU13L",Leistungsdaten!E16,IF('Planungstool Heizlast'!$B$4="EU08L",A16,""))</f>
        <v>-22.4775169790375</v>
      </c>
      <c r="J16" s="1">
        <f>IF(OR('Planungstool Heizlast'!$B$10="Fußbodenheizung 35°C",'Planungstool Heizlast'!$B$10="Niedertemperaturheizkörper 45°C"),IF('Planungstool Heizlast'!$B$4="EU13L",Leistungsdaten!F16,IF('Planungstool Heizlast'!$B$4="EU08L",Leistungsdaten!B16,"")),IF('Planungstool Heizlast'!$B$4="EU13L",Leistungsdaten!F16,IF('Planungstool Heizlast'!$B$4="EU08L",Leistungsdaten!B16,""))*0.9)*'Planungstool Heizlast'!$B$5</f>
        <v>5.6364845846501899</v>
      </c>
      <c r="K16" s="1">
        <f>IF('Planungstool Heizlast'!$B$4="EU13L",Leistungsdaten!G16,IF('Planungstool Heizlast'!$B$4="EU08L",Leistungsdaten!C16,""))*$B$237</f>
        <v>10.413331527336913</v>
      </c>
      <c r="L16" s="1">
        <f t="shared" si="0"/>
        <v>-4.7768469426867233</v>
      </c>
    </row>
    <row r="17" spans="1:12" x14ac:dyDescent="0.25">
      <c r="A17">
        <v>-22.266899407353201</v>
      </c>
      <c r="B17">
        <v>5.6707684825642897</v>
      </c>
      <c r="C17">
        <f>IF(A17&lt;'Planungstool Heizlast'!$B$9,'Planungstool Heizlast'!$B$22,IF(A17&gt;15,'Planungstool Heizlast'!$B$21,'Planungstool Heizlast'!$B$20/(15-'Planungstool Heizlast'!$B$9)*(15-Leistungsdaten!A17)+'Planungstool Heizlast'!$B$21))</f>
        <v>9.4666650248517392</v>
      </c>
      <c r="E17">
        <v>-19.566036290686</v>
      </c>
      <c r="F17">
        <v>10.027949159781199</v>
      </c>
      <c r="G17">
        <f>IF(E17&lt;'Planungstool Heizlast'!$B$9,'Planungstool Heizlast'!$B$22,IF(E17&gt;15,'Planungstool Heizlast'!$B$21,'Planungstool Heizlast'!$B$20/(15-'Planungstool Heizlast'!$B$9)*(15-Leistungsdaten!E17)+'Planungstool Heizlast'!$B$21))</f>
        <v>9.4666650248517392</v>
      </c>
      <c r="I17" s="1">
        <f>IF('Planungstool Heizlast'!$B$4="EU13L",Leistungsdaten!E17,IF('Planungstool Heizlast'!$B$4="EU08L",A17,""))</f>
        <v>-22.266899407353201</v>
      </c>
      <c r="J17" s="1">
        <f>IF(OR('Planungstool Heizlast'!$B$10="Fußbodenheizung 35°C",'Planungstool Heizlast'!$B$10="Niedertemperaturheizkörper 45°C"),IF('Planungstool Heizlast'!$B$4="EU13L",Leistungsdaten!F17,IF('Planungstool Heizlast'!$B$4="EU08L",Leistungsdaten!B17,"")),IF('Planungstool Heizlast'!$B$4="EU13L",Leistungsdaten!F17,IF('Planungstool Heizlast'!$B$4="EU08L",Leistungsdaten!B17,""))*0.9)*'Planungstool Heizlast'!$B$5</f>
        <v>5.6707684825642897</v>
      </c>
      <c r="K17" s="1">
        <f>IF('Planungstool Heizlast'!$B$4="EU13L",Leistungsdaten!G17,IF('Planungstool Heizlast'!$B$4="EU08L",Leistungsdaten!C17,""))*$B$237</f>
        <v>10.413331527336913</v>
      </c>
      <c r="L17" s="1">
        <f t="shared" si="0"/>
        <v>-4.7425630447726235</v>
      </c>
    </row>
    <row r="18" spans="1:12" x14ac:dyDescent="0.25">
      <c r="A18">
        <v>-22.056281835668901</v>
      </c>
      <c r="B18">
        <v>5.7050523804783904</v>
      </c>
      <c r="C18">
        <f>IF(A18&lt;'Planungstool Heizlast'!$B$9,'Planungstool Heizlast'!$B$22,IF(A18&gt;15,'Planungstool Heizlast'!$B$21,'Planungstool Heizlast'!$B$20/(15-'Planungstool Heizlast'!$B$9)*(15-Leistungsdaten!A18)+'Planungstool Heizlast'!$B$21))</f>
        <v>9.4666650248517392</v>
      </c>
      <c r="E18">
        <v>-19.3445076738411</v>
      </c>
      <c r="F18">
        <v>10.084036395126001</v>
      </c>
      <c r="G18">
        <f>IF(E18&lt;'Planungstool Heizlast'!$B$9,'Planungstool Heizlast'!$B$22,IF(E18&gt;15,'Planungstool Heizlast'!$B$21,'Planungstool Heizlast'!$B$20/(15-'Planungstool Heizlast'!$B$9)*(15-Leistungsdaten!E18)+'Planungstool Heizlast'!$B$21))</f>
        <v>9.4666650248517392</v>
      </c>
      <c r="I18" s="1">
        <f>IF('Planungstool Heizlast'!$B$4="EU13L",Leistungsdaten!E18,IF('Planungstool Heizlast'!$B$4="EU08L",A18,""))</f>
        <v>-22.056281835668901</v>
      </c>
      <c r="J18" s="1">
        <f>IF(OR('Planungstool Heizlast'!$B$10="Fußbodenheizung 35°C",'Planungstool Heizlast'!$B$10="Niedertemperaturheizkörper 45°C"),IF('Planungstool Heizlast'!$B$4="EU13L",Leistungsdaten!F18,IF('Planungstool Heizlast'!$B$4="EU08L",Leistungsdaten!B18,"")),IF('Planungstool Heizlast'!$B$4="EU13L",Leistungsdaten!F18,IF('Planungstool Heizlast'!$B$4="EU08L",Leistungsdaten!B18,""))*0.9)*'Planungstool Heizlast'!$B$5</f>
        <v>5.7050523804783904</v>
      </c>
      <c r="K18" s="1">
        <f>IF('Planungstool Heizlast'!$B$4="EU13L",Leistungsdaten!G18,IF('Planungstool Heizlast'!$B$4="EU08L",Leistungsdaten!C18,""))*$B$237</f>
        <v>10.413331527336913</v>
      </c>
      <c r="L18" s="1">
        <f t="shared" si="0"/>
        <v>-4.7082791468585228</v>
      </c>
    </row>
    <row r="19" spans="1:12" x14ac:dyDescent="0.25">
      <c r="A19">
        <v>-21.845664263984599</v>
      </c>
      <c r="B19">
        <v>5.7393362783924902</v>
      </c>
      <c r="C19">
        <f>IF(A19&lt;'Planungstool Heizlast'!$B$9,'Planungstool Heizlast'!$B$22,IF(A19&gt;15,'Planungstool Heizlast'!$B$21,'Planungstool Heizlast'!$B$20/(15-'Planungstool Heizlast'!$B$9)*(15-Leistungsdaten!A19)+'Planungstool Heizlast'!$B$21))</f>
        <v>9.4666650248517392</v>
      </c>
      <c r="E19">
        <v>-19.122862652242102</v>
      </c>
      <c r="F19">
        <v>10.140220571253</v>
      </c>
      <c r="G19">
        <f>IF(E19&lt;'Planungstool Heizlast'!$B$9,'Planungstool Heizlast'!$B$22,IF(E19&gt;15,'Planungstool Heizlast'!$B$21,'Planungstool Heizlast'!$B$20/(15-'Planungstool Heizlast'!$B$9)*(15-Leistungsdaten!E19)+'Planungstool Heizlast'!$B$21))</f>
        <v>9.4666650248517392</v>
      </c>
      <c r="I19" s="1">
        <f>IF('Planungstool Heizlast'!$B$4="EU13L",Leistungsdaten!E19,IF('Planungstool Heizlast'!$B$4="EU08L",A19,""))</f>
        <v>-21.845664263984599</v>
      </c>
      <c r="J19" s="1">
        <f>IF(OR('Planungstool Heizlast'!$B$10="Fußbodenheizung 35°C",'Planungstool Heizlast'!$B$10="Niedertemperaturheizkörper 45°C"),IF('Planungstool Heizlast'!$B$4="EU13L",Leistungsdaten!F19,IF('Planungstool Heizlast'!$B$4="EU08L",Leistungsdaten!B19,"")),IF('Planungstool Heizlast'!$B$4="EU13L",Leistungsdaten!F19,IF('Planungstool Heizlast'!$B$4="EU08L",Leistungsdaten!B19,""))*0.9)*'Planungstool Heizlast'!$B$5</f>
        <v>5.7393362783924902</v>
      </c>
      <c r="K19" s="1">
        <f>IF('Planungstool Heizlast'!$B$4="EU13L",Leistungsdaten!G19,IF('Planungstool Heizlast'!$B$4="EU08L",Leistungsdaten!C19,""))*$B$237</f>
        <v>10.413331527336913</v>
      </c>
      <c r="L19" s="1">
        <f t="shared" si="0"/>
        <v>-4.673995248944423</v>
      </c>
    </row>
    <row r="20" spans="1:12" x14ac:dyDescent="0.25">
      <c r="A20">
        <v>-21.6350466923003</v>
      </c>
      <c r="B20">
        <v>5.77362017630659</v>
      </c>
      <c r="C20">
        <f>IF(A20&lt;'Planungstool Heizlast'!$B$9,'Planungstool Heizlast'!$B$22,IF(A20&gt;15,'Planungstool Heizlast'!$B$21,'Planungstool Heizlast'!$B$20/(15-'Planungstool Heizlast'!$B$9)*(15-Leistungsdaten!A20)+'Planungstool Heizlast'!$B$21))</f>
        <v>9.4666650248517392</v>
      </c>
      <c r="E20">
        <v>-18.901101955280499</v>
      </c>
      <c r="F20">
        <v>10.1964981486016</v>
      </c>
      <c r="G20">
        <f>IF(E20&lt;'Planungstool Heizlast'!$B$9,'Planungstool Heizlast'!$B$22,IF(E20&gt;15,'Planungstool Heizlast'!$B$21,'Planungstool Heizlast'!$B$20/(15-'Planungstool Heizlast'!$B$9)*(15-Leistungsdaten!E20)+'Planungstool Heizlast'!$B$21))</f>
        <v>9.4666650248517392</v>
      </c>
      <c r="I20" s="1">
        <f>IF('Planungstool Heizlast'!$B$4="EU13L",Leistungsdaten!E20,IF('Planungstool Heizlast'!$B$4="EU08L",A20,""))</f>
        <v>-21.6350466923003</v>
      </c>
      <c r="J20" s="1">
        <f>IF(OR('Planungstool Heizlast'!$B$10="Fußbodenheizung 35°C",'Planungstool Heizlast'!$B$10="Niedertemperaturheizkörper 45°C"),IF('Planungstool Heizlast'!$B$4="EU13L",Leistungsdaten!F20,IF('Planungstool Heizlast'!$B$4="EU08L",Leistungsdaten!B20,"")),IF('Planungstool Heizlast'!$B$4="EU13L",Leistungsdaten!F20,IF('Planungstool Heizlast'!$B$4="EU08L",Leistungsdaten!B20,""))*0.9)*'Planungstool Heizlast'!$B$5</f>
        <v>5.77362017630659</v>
      </c>
      <c r="K20" s="1">
        <f>IF('Planungstool Heizlast'!$B$4="EU13L",Leistungsdaten!G20,IF('Planungstool Heizlast'!$B$4="EU08L",Leistungsdaten!C20,""))*$B$237</f>
        <v>10.413331527336913</v>
      </c>
      <c r="L20" s="1">
        <f t="shared" si="0"/>
        <v>-4.6397113510303232</v>
      </c>
    </row>
    <row r="21" spans="1:12" x14ac:dyDescent="0.25">
      <c r="A21">
        <v>-21.424429120616001</v>
      </c>
      <c r="B21">
        <v>5.8079040742206898</v>
      </c>
      <c r="C21">
        <f>IF(A21&lt;'Planungstool Heizlast'!$B$9,'Planungstool Heizlast'!$B$22,IF(A21&gt;15,'Planungstool Heizlast'!$B$21,'Planungstool Heizlast'!$B$20/(15-'Planungstool Heizlast'!$B$9)*(15-Leistungsdaten!A21)+'Planungstool Heizlast'!$B$21))</f>
        <v>9.4666650248517392</v>
      </c>
      <c r="E21">
        <v>-18.679226316104099</v>
      </c>
      <c r="F21">
        <v>10.2528655315549</v>
      </c>
      <c r="G21">
        <f>IF(E21&lt;'Planungstool Heizlast'!$B$9,'Planungstool Heizlast'!$B$22,IF(E21&gt;15,'Planungstool Heizlast'!$B$21,'Planungstool Heizlast'!$B$20/(15-'Planungstool Heizlast'!$B$9)*(15-Leistungsdaten!E21)+'Planungstool Heizlast'!$B$21))</f>
        <v>9.4666650248517392</v>
      </c>
      <c r="I21" s="1">
        <f>IF('Planungstool Heizlast'!$B$4="EU13L",Leistungsdaten!E21,IF('Planungstool Heizlast'!$B$4="EU08L",A21,""))</f>
        <v>-21.424429120616001</v>
      </c>
      <c r="J21" s="1">
        <f>IF(OR('Planungstool Heizlast'!$B$10="Fußbodenheizung 35°C",'Planungstool Heizlast'!$B$10="Niedertemperaturheizkörper 45°C"),IF('Planungstool Heizlast'!$B$4="EU13L",Leistungsdaten!F21,IF('Planungstool Heizlast'!$B$4="EU08L",Leistungsdaten!B21,"")),IF('Planungstool Heizlast'!$B$4="EU13L",Leistungsdaten!F21,IF('Planungstool Heizlast'!$B$4="EU08L",Leistungsdaten!B21,""))*0.9)*'Planungstool Heizlast'!$B$5</f>
        <v>5.8079040742206898</v>
      </c>
      <c r="K21" s="1">
        <f>IF('Planungstool Heizlast'!$B$4="EU13L",Leistungsdaten!G21,IF('Planungstool Heizlast'!$B$4="EU08L",Leistungsdaten!C21,""))*$B$237</f>
        <v>10.413331527336913</v>
      </c>
      <c r="L21" s="1">
        <f t="shared" ref="L21:L84" si="1">J21-K21</f>
        <v>-4.6054274531162234</v>
      </c>
    </row>
    <row r="22" spans="1:12" x14ac:dyDescent="0.25">
      <c r="A22">
        <v>-21.213811548931702</v>
      </c>
      <c r="B22">
        <v>5.8421879721347896</v>
      </c>
      <c r="C22">
        <f>IF(A22&lt;'Planungstool Heizlast'!$B$9,'Planungstool Heizlast'!$B$22,IF(A22&gt;15,'Planungstool Heizlast'!$B$21,'Planungstool Heizlast'!$B$20/(15-'Planungstool Heizlast'!$B$9)*(15-Leistungsdaten!A22)+'Planungstool Heizlast'!$B$21))</f>
        <v>9.4666650248517392</v>
      </c>
      <c r="E22">
        <v>-18.457236471558499</v>
      </c>
      <c r="F22">
        <v>10.3093190675141</v>
      </c>
      <c r="G22">
        <f>IF(E22&lt;'Planungstool Heizlast'!$B$9,'Planungstool Heizlast'!$B$22,IF(E22&gt;15,'Planungstool Heizlast'!$B$21,'Planungstool Heizlast'!$B$20/(15-'Planungstool Heizlast'!$B$9)*(15-Leistungsdaten!E22)+'Planungstool Heizlast'!$B$21))</f>
        <v>9.4666650248517392</v>
      </c>
      <c r="I22" s="1">
        <f>IF('Planungstool Heizlast'!$B$4="EU13L",Leistungsdaten!E22,IF('Planungstool Heizlast'!$B$4="EU08L",A22,""))</f>
        <v>-21.213811548931702</v>
      </c>
      <c r="J22" s="1">
        <f>IF(OR('Planungstool Heizlast'!$B$10="Fußbodenheizung 35°C",'Planungstool Heizlast'!$B$10="Niedertemperaturheizkörper 45°C"),IF('Planungstool Heizlast'!$B$4="EU13L",Leistungsdaten!F22,IF('Planungstool Heizlast'!$B$4="EU08L",Leistungsdaten!B22,"")),IF('Planungstool Heizlast'!$B$4="EU13L",Leistungsdaten!F22,IF('Planungstool Heizlast'!$B$4="EU08L",Leistungsdaten!B22,""))*0.9)*'Planungstool Heizlast'!$B$5</f>
        <v>5.8421879721347896</v>
      </c>
      <c r="K22" s="1">
        <f>IF('Planungstool Heizlast'!$B$4="EU13L",Leistungsdaten!G22,IF('Planungstool Heizlast'!$B$4="EU08L",Leistungsdaten!C22,""))*$B$237</f>
        <v>10.413331527336913</v>
      </c>
      <c r="L22" s="1">
        <f t="shared" si="1"/>
        <v>-4.5711435552021236</v>
      </c>
    </row>
    <row r="23" spans="1:12" x14ac:dyDescent="0.25">
      <c r="A23">
        <v>-21.0030435033221</v>
      </c>
      <c r="B23">
        <v>5.8766958690341404</v>
      </c>
      <c r="C23">
        <f>IF(A23&lt;'Planungstool Heizlast'!$B$9,'Planungstool Heizlast'!$B$22,IF(A23&gt;15,'Planungstool Heizlast'!$B$21,'Planungstool Heizlast'!$B$20/(15-'Planungstool Heizlast'!$B$9)*(15-Leistungsdaten!A23)+'Planungstool Heizlast'!$B$21))</f>
        <v>9.4666650248517392</v>
      </c>
      <c r="E23">
        <v>-18.235133162131699</v>
      </c>
      <c r="F23">
        <v>10.365855045955</v>
      </c>
      <c r="G23">
        <f>IF(E23&lt;'Planungstool Heizlast'!$B$9,'Planungstool Heizlast'!$B$22,IF(E23&gt;15,'Planungstool Heizlast'!$B$21,'Planungstool Heizlast'!$B$20/(15-'Planungstool Heizlast'!$B$9)*(15-Leistungsdaten!E23)+'Planungstool Heizlast'!$B$21))</f>
        <v>9.4666650248517392</v>
      </c>
      <c r="I23" s="1">
        <f>IF('Planungstool Heizlast'!$B$4="EU13L",Leistungsdaten!E23,IF('Planungstool Heizlast'!$B$4="EU08L",A23,""))</f>
        <v>-21.0030435033221</v>
      </c>
      <c r="J23" s="1">
        <f>IF(OR('Planungstool Heizlast'!$B$10="Fußbodenheizung 35°C",'Planungstool Heizlast'!$B$10="Niedertemperaturheizkörper 45°C"),IF('Planungstool Heizlast'!$B$4="EU13L",Leistungsdaten!F23,IF('Planungstool Heizlast'!$B$4="EU08L",Leistungsdaten!B23,"")),IF('Planungstool Heizlast'!$B$4="EU13L",Leistungsdaten!F23,IF('Planungstool Heizlast'!$B$4="EU08L",Leistungsdaten!B23,""))*0.9)*'Planungstool Heizlast'!$B$5</f>
        <v>5.8766958690341404</v>
      </c>
      <c r="K23" s="1">
        <f>IF('Planungstool Heizlast'!$B$4="EU13L",Leistungsdaten!G23,IF('Planungstool Heizlast'!$B$4="EU08L",Leistungsdaten!C23,""))*$B$237</f>
        <v>10.413331527336913</v>
      </c>
      <c r="L23" s="1">
        <f t="shared" si="1"/>
        <v>-4.5366356583027727</v>
      </c>
    </row>
    <row r="24" spans="1:12" x14ac:dyDescent="0.25">
      <c r="A24">
        <v>-20.792125052336601</v>
      </c>
      <c r="B24">
        <v>5.9114249693919598</v>
      </c>
      <c r="C24">
        <f>IF(A24&lt;'Planungstool Heizlast'!$B$9,'Planungstool Heizlast'!$B$22,IF(A24&gt;15,'Planungstool Heizlast'!$B$21,'Planungstool Heizlast'!$B$20/(15-'Planungstool Heizlast'!$B$9)*(15-Leistungsdaten!A24)+'Planungstool Heizlast'!$B$21))</f>
        <v>9.4666650248517392</v>
      </c>
      <c r="E24">
        <v>-18.012917131901901</v>
      </c>
      <c r="F24">
        <v>10.422469697468401</v>
      </c>
      <c r="G24">
        <f>IF(E24&lt;'Planungstool Heizlast'!$B$9,'Planungstool Heizlast'!$B$22,IF(E24&gt;15,'Planungstool Heizlast'!$B$21,'Planungstool Heizlast'!$B$20/(15-'Planungstool Heizlast'!$B$9)*(15-Leistungsdaten!E24)+'Planungstool Heizlast'!$B$21))</f>
        <v>9.4666650248517392</v>
      </c>
      <c r="I24" s="1">
        <f>IF('Planungstool Heizlast'!$B$4="EU13L",Leistungsdaten!E24,IF('Planungstool Heizlast'!$B$4="EU08L",A24,""))</f>
        <v>-20.792125052336601</v>
      </c>
      <c r="J24" s="1">
        <f>IF(OR('Planungstool Heizlast'!$B$10="Fußbodenheizung 35°C",'Planungstool Heizlast'!$B$10="Niedertemperaturheizkörper 45°C"),IF('Planungstool Heizlast'!$B$4="EU13L",Leistungsdaten!F24,IF('Planungstool Heizlast'!$B$4="EU08L",Leistungsdaten!B24,"")),IF('Planungstool Heizlast'!$B$4="EU13L",Leistungsdaten!F24,IF('Planungstool Heizlast'!$B$4="EU08L",Leistungsdaten!B24,""))*0.9)*'Planungstool Heizlast'!$B$5</f>
        <v>5.9114249693919598</v>
      </c>
      <c r="K24" s="1">
        <f>IF('Planungstool Heizlast'!$B$4="EU13L",Leistungsdaten!G24,IF('Planungstool Heizlast'!$B$4="EU08L",Leistungsdaten!C24,""))*$B$237</f>
        <v>10.413331527336913</v>
      </c>
      <c r="L24" s="1">
        <f t="shared" si="1"/>
        <v>-4.5019065579449533</v>
      </c>
    </row>
    <row r="25" spans="1:12" x14ac:dyDescent="0.25">
      <c r="A25">
        <v>-20.581056293481399</v>
      </c>
      <c r="B25">
        <v>5.9463724451053004</v>
      </c>
      <c r="C25">
        <f>IF(A25&lt;'Planungstool Heizlast'!$B$9,'Planungstool Heizlast'!$B$22,IF(A25&gt;15,'Planungstool Heizlast'!$B$21,'Planungstool Heizlast'!$B$20/(15-'Planungstool Heizlast'!$B$9)*(15-Leistungsdaten!A25)+'Planungstool Heizlast'!$B$21))</f>
        <v>9.4666650248517392</v>
      </c>
      <c r="E25">
        <v>-17.790589128486701</v>
      </c>
      <c r="F25">
        <v>10.4791591927808</v>
      </c>
      <c r="G25">
        <f>IF(E25&lt;'Planungstool Heizlast'!$B$9,'Planungstool Heizlast'!$B$22,IF(E25&gt;15,'Planungstool Heizlast'!$B$21,'Planungstool Heizlast'!$B$20/(15-'Planungstool Heizlast'!$B$9)*(15-Leistungsdaten!E25)+'Planungstool Heizlast'!$B$21))</f>
        <v>9.4666650248517392</v>
      </c>
      <c r="I25" s="1">
        <f>IF('Planungstool Heizlast'!$B$4="EU13L",Leistungsdaten!E25,IF('Planungstool Heizlast'!$B$4="EU08L",A25,""))</f>
        <v>-20.581056293481399</v>
      </c>
      <c r="J25" s="1">
        <f>IF(OR('Planungstool Heizlast'!$B$10="Fußbodenheizung 35°C",'Planungstool Heizlast'!$B$10="Niedertemperaturheizkörper 45°C"),IF('Planungstool Heizlast'!$B$4="EU13L",Leistungsdaten!F25,IF('Planungstool Heizlast'!$B$4="EU08L",Leistungsdaten!B25,"")),IF('Planungstool Heizlast'!$B$4="EU13L",Leistungsdaten!F25,IF('Planungstool Heizlast'!$B$4="EU08L",Leistungsdaten!B25,""))*0.9)*'Planungstool Heizlast'!$B$5</f>
        <v>5.9463724451053004</v>
      </c>
      <c r="K25" s="1">
        <f>IF('Planungstool Heizlast'!$B$4="EU13L",Leistungsdaten!G25,IF('Planungstool Heizlast'!$B$4="EU08L",Leistungsdaten!C25,""))*$B$237</f>
        <v>10.413331527336913</v>
      </c>
      <c r="L25" s="1">
        <f t="shared" si="1"/>
        <v>-4.4669590822316128</v>
      </c>
    </row>
    <row r="26" spans="1:12" x14ac:dyDescent="0.25">
      <c r="A26">
        <v>-20.369837352740799</v>
      </c>
      <c r="B26">
        <v>5.9815354349909002</v>
      </c>
      <c r="C26">
        <f>IF(A26&lt;'Planungstool Heizlast'!$B$9,'Planungstool Heizlast'!$B$22,IF(A26&gt;15,'Planungstool Heizlast'!$B$21,'Planungstool Heizlast'!$B$20/(15-'Planungstool Heizlast'!$B$9)*(15-Leistungsdaten!A26)+'Planungstool Heizlast'!$B$21))</f>
        <v>9.4666650248517392</v>
      </c>
      <c r="E26">
        <v>-17.568149902996801</v>
      </c>
      <c r="F26">
        <v>10.535919641758399</v>
      </c>
      <c r="G26">
        <f>IF(E26&lt;'Planungstool Heizlast'!$B$9,'Planungstool Heizlast'!$B$22,IF(E26&gt;15,'Planungstool Heizlast'!$B$21,'Planungstool Heizlast'!$B$20/(15-'Planungstool Heizlast'!$B$9)*(15-Leistungsdaten!E26)+'Planungstool Heizlast'!$B$21))</f>
        <v>9.4666650248517392</v>
      </c>
      <c r="I26" s="1">
        <f>IF('Planungstool Heizlast'!$B$4="EU13L",Leistungsdaten!E26,IF('Planungstool Heizlast'!$B$4="EU08L",A26,""))</f>
        <v>-20.369837352740799</v>
      </c>
      <c r="J26" s="1">
        <f>IF(OR('Planungstool Heizlast'!$B$10="Fußbodenheizung 35°C",'Planungstool Heizlast'!$B$10="Niedertemperaturheizkörper 45°C"),IF('Planungstool Heizlast'!$B$4="EU13L",Leistungsdaten!F26,IF('Planungstool Heizlast'!$B$4="EU08L",Leistungsdaten!B26,"")),IF('Planungstool Heizlast'!$B$4="EU13L",Leistungsdaten!F26,IF('Planungstool Heizlast'!$B$4="EU08L",Leistungsdaten!B26,""))*0.9)*'Planungstool Heizlast'!$B$5</f>
        <v>5.9815354349909002</v>
      </c>
      <c r="K26" s="1">
        <f>IF('Planungstool Heizlast'!$B$4="EU13L",Leistungsdaten!G26,IF('Planungstool Heizlast'!$B$4="EU08L",Leistungsdaten!C26,""))*$B$237</f>
        <v>10.413331527336913</v>
      </c>
      <c r="L26" s="1">
        <f t="shared" si="1"/>
        <v>-4.4317960923460129</v>
      </c>
    </row>
    <row r="27" spans="1:12" x14ac:dyDescent="0.25">
      <c r="A27">
        <v>-20.158468384085801</v>
      </c>
      <c r="B27">
        <v>6.0169110442717599</v>
      </c>
      <c r="C27">
        <f>IF(A27&lt;'Planungstool Heizlast'!$B$9,'Planungstool Heizlast'!$B$22,IF(A27&gt;15,'Planungstool Heizlast'!$B$21,'Planungstool Heizlast'!$B$20/(15-'Planungstool Heizlast'!$B$9)*(15-Leistungsdaten!A27)+'Planungstool Heizlast'!$B$21))</f>
        <v>9.4666650248517392</v>
      </c>
      <c r="E27">
        <v>-17.345600209990302</v>
      </c>
      <c r="F27">
        <v>10.592747092392599</v>
      </c>
      <c r="G27">
        <f>IF(E27&lt;'Planungstool Heizlast'!$B$9,'Planungstool Heizlast'!$B$22,IF(E27&gt;15,'Planungstool Heizlast'!$B$21,'Planungstool Heizlast'!$B$20/(15-'Planungstool Heizlast'!$B$9)*(15-Leistungsdaten!E27)+'Planungstool Heizlast'!$B$21))</f>
        <v>9.4666650248517392</v>
      </c>
      <c r="I27" s="1">
        <f>IF('Planungstool Heizlast'!$B$4="EU13L",Leistungsdaten!E27,IF('Planungstool Heizlast'!$B$4="EU08L",A27,""))</f>
        <v>-20.158468384085801</v>
      </c>
      <c r="J27" s="1">
        <f>IF(OR('Planungstool Heizlast'!$B$10="Fußbodenheizung 35°C",'Planungstool Heizlast'!$B$10="Niedertemperaturheizkörper 45°C"),IF('Planungstool Heizlast'!$B$4="EU13L",Leistungsdaten!F27,IF('Planungstool Heizlast'!$B$4="EU08L",Leistungsdaten!B27,"")),IF('Planungstool Heizlast'!$B$4="EU13L",Leistungsdaten!F27,IF('Planungstool Heizlast'!$B$4="EU08L",Leistungsdaten!B27,""))*0.9)*'Planungstool Heizlast'!$B$5</f>
        <v>6.0169110442717599</v>
      </c>
      <c r="K27" s="1">
        <f>IF('Planungstool Heizlast'!$B$4="EU13L",Leistungsdaten!G27,IF('Planungstool Heizlast'!$B$4="EU08L",Leistungsdaten!C27,""))*$B$237</f>
        <v>10.413331527336913</v>
      </c>
      <c r="L27" s="1">
        <f t="shared" si="1"/>
        <v>-4.3964204830651532</v>
      </c>
    </row>
    <row r="28" spans="1:12" x14ac:dyDescent="0.25">
      <c r="A28">
        <v>-19.9469495689697</v>
      </c>
      <c r="B28">
        <v>6.0524963440538997</v>
      </c>
      <c r="C28">
        <f>IF(A28&lt;'Planungstool Heizlast'!$B$9,'Planungstool Heizlast'!$B$22,IF(A28&gt;15,'Planungstool Heizlast'!$B$21,'Planungstool Heizlast'!$B$20/(15-'Planungstool Heizlast'!$B$9)*(15-Leistungsdaten!A28)+'Planungstool Heizlast'!$B$21))</f>
        <v>9.4666650248517392</v>
      </c>
      <c r="E28">
        <v>-17.122940807431</v>
      </c>
      <c r="F28">
        <v>10.649637529766199</v>
      </c>
      <c r="G28">
        <f>IF(E28&lt;'Planungstool Heizlast'!$B$9,'Planungstool Heizlast'!$B$22,IF(E28&gt;15,'Planungstool Heizlast'!$B$21,'Planungstool Heizlast'!$B$20/(15-'Planungstool Heizlast'!$B$9)*(15-Leistungsdaten!E28)+'Planungstool Heizlast'!$B$21))</f>
        <v>9.4666650248517392</v>
      </c>
      <c r="I28" s="1">
        <f>IF('Planungstool Heizlast'!$B$4="EU13L",Leistungsdaten!E28,IF('Planungstool Heizlast'!$B$4="EU08L",A28,""))</f>
        <v>-19.9469495689697</v>
      </c>
      <c r="J28" s="1">
        <f>IF(OR('Planungstool Heizlast'!$B$10="Fußbodenheizung 35°C",'Planungstool Heizlast'!$B$10="Niedertemperaturheizkörper 45°C"),IF('Planungstool Heizlast'!$B$4="EU13L",Leistungsdaten!F28,IF('Planungstool Heizlast'!$B$4="EU08L",Leistungsdaten!B28,"")),IF('Planungstool Heizlast'!$B$4="EU13L",Leistungsdaten!F28,IF('Planungstool Heizlast'!$B$4="EU08L",Leistungsdaten!B28,""))*0.9)*'Planungstool Heizlast'!$B$5</f>
        <v>6.0524963440538997</v>
      </c>
      <c r="K28" s="1">
        <f>IF('Planungstool Heizlast'!$B$4="EU13L",Leistungsdaten!G28,IF('Planungstool Heizlast'!$B$4="EU08L",Leistungsdaten!C28,""))*$B$237</f>
        <v>10.413331527336913</v>
      </c>
      <c r="L28" s="1">
        <f t="shared" si="1"/>
        <v>-4.3608351832830134</v>
      </c>
    </row>
    <row r="29" spans="1:12" x14ac:dyDescent="0.25">
      <c r="A29">
        <v>-19.735281115815202</v>
      </c>
      <c r="B29">
        <v>6.0882883707933901</v>
      </c>
      <c r="C29">
        <f>IF(A29&lt;'Planungstool Heizlast'!$B$9,'Planungstool Heizlast'!$B$22,IF(A29&gt;15,'Planungstool Heizlast'!$B$21,'Planungstool Heizlast'!$B$20/(15-'Planungstool Heizlast'!$B$9)*(15-Leistungsdaten!A29)+'Planungstool Heizlast'!$B$21))</f>
        <v>9.4666650248517392</v>
      </c>
      <c r="E29">
        <v>-16.9001724566481</v>
      </c>
      <c r="F29">
        <v>10.706586875000699</v>
      </c>
      <c r="G29">
        <f>IF(E29&lt;'Planungstool Heizlast'!$B$9,'Planungstool Heizlast'!$B$22,IF(E29&gt;15,'Planungstool Heizlast'!$B$21,'Planungstool Heizlast'!$B$20/(15-'Planungstool Heizlast'!$B$9)*(15-Leistungsdaten!E29)+'Planungstool Heizlast'!$B$21))</f>
        <v>9.4666650248517392</v>
      </c>
      <c r="I29" s="1">
        <f>IF('Planungstool Heizlast'!$B$4="EU13L",Leistungsdaten!E29,IF('Planungstool Heizlast'!$B$4="EU08L",A29,""))</f>
        <v>-19.735281115815202</v>
      </c>
      <c r="J29" s="1">
        <f>IF(OR('Planungstool Heizlast'!$B$10="Fußbodenheizung 35°C",'Planungstool Heizlast'!$B$10="Niedertemperaturheizkörper 45°C"),IF('Planungstool Heizlast'!$B$4="EU13L",Leistungsdaten!F29,IF('Planungstool Heizlast'!$B$4="EU08L",Leistungsdaten!B29,"")),IF('Planungstool Heizlast'!$B$4="EU13L",Leistungsdaten!F29,IF('Planungstool Heizlast'!$B$4="EU08L",Leistungsdaten!B29,""))*0.9)*'Planungstool Heizlast'!$B$5</f>
        <v>6.0882883707933901</v>
      </c>
      <c r="K29" s="1">
        <f>IF('Planungstool Heizlast'!$B$4="EU13L",Leistungsdaten!G29,IF('Planungstool Heizlast'!$B$4="EU08L",Leistungsdaten!C29,""))*$B$237</f>
        <v>10.413331527336913</v>
      </c>
      <c r="L29" s="1">
        <f t="shared" si="1"/>
        <v>-4.325043156543523</v>
      </c>
    </row>
    <row r="30" spans="1:12" x14ac:dyDescent="0.25">
      <c r="A30">
        <v>-19.523463259490999</v>
      </c>
      <c r="B30">
        <v>6.12428412575332</v>
      </c>
      <c r="C30">
        <f>IF(A30&lt;'Planungstool Heizlast'!$B$9,'Planungstool Heizlast'!$B$22,IF(A30&gt;15,'Planungstool Heizlast'!$B$21,'Planungstool Heizlast'!$B$20/(15-'Planungstool Heizlast'!$B$9)*(15-Leistungsdaten!A30)+'Planungstool Heizlast'!$B$21))</f>
        <v>9.4666650248517392</v>
      </c>
      <c r="E30">
        <v>-16.677295922298601</v>
      </c>
      <c r="F30">
        <v>10.7635909841851</v>
      </c>
      <c r="G30">
        <f>IF(E30&lt;'Planungstool Heizlast'!$B$9,'Planungstool Heizlast'!$B$22,IF(E30&gt;15,'Planungstool Heizlast'!$B$21,'Planungstool Heizlast'!$B$20/(15-'Planungstool Heizlast'!$B$9)*(15-Leistungsdaten!E30)+'Planungstool Heizlast'!$B$21))</f>
        <v>9.4666650248517392</v>
      </c>
      <c r="I30" s="1">
        <f>IF('Planungstool Heizlast'!$B$4="EU13L",Leistungsdaten!E30,IF('Planungstool Heizlast'!$B$4="EU08L",A30,""))</f>
        <v>-19.523463259490999</v>
      </c>
      <c r="J30" s="1">
        <f>IF(OR('Planungstool Heizlast'!$B$10="Fußbodenheizung 35°C",'Planungstool Heizlast'!$B$10="Niedertemperaturheizkörper 45°C"),IF('Planungstool Heizlast'!$B$4="EU13L",Leistungsdaten!F30,IF('Planungstool Heizlast'!$B$4="EU08L",Leistungsdaten!B30,"")),IF('Planungstool Heizlast'!$B$4="EU13L",Leistungsdaten!F30,IF('Planungstool Heizlast'!$B$4="EU08L",Leistungsdaten!B30,""))*0.9)*'Planungstool Heizlast'!$B$5</f>
        <v>6.12428412575332</v>
      </c>
      <c r="K30" s="1">
        <f>IF('Planungstool Heizlast'!$B$4="EU13L",Leistungsdaten!G30,IF('Planungstool Heizlast'!$B$4="EU08L",Leistungsdaten!C30,""))*$B$237</f>
        <v>10.413331527336913</v>
      </c>
      <c r="L30" s="1">
        <f t="shared" si="1"/>
        <v>-4.2890474015835931</v>
      </c>
    </row>
    <row r="31" spans="1:12" x14ac:dyDescent="0.25">
      <c r="A31">
        <v>-19.311496260782398</v>
      </c>
      <c r="B31">
        <v>6.1604805744507098</v>
      </c>
      <c r="C31">
        <f>IF(A31&lt;'Planungstool Heizlast'!$B$9,'Planungstool Heizlast'!$B$22,IF(A31&gt;15,'Planungstool Heizlast'!$B$21,'Planungstool Heizlast'!$B$20/(15-'Planungstool Heizlast'!$B$9)*(15-Leistungsdaten!A31)+'Planungstool Heizlast'!$B$21))</f>
        <v>9.4666650248517392</v>
      </c>
      <c r="E31">
        <v>-16.4543119723314</v>
      </c>
      <c r="F31">
        <v>10.820645647284101</v>
      </c>
      <c r="G31">
        <f>IF(E31&lt;'Planungstool Heizlast'!$B$9,'Planungstool Heizlast'!$B$22,IF(E31&gt;15,'Planungstool Heizlast'!$B$21,'Planungstool Heizlast'!$B$20/(15-'Planungstool Heizlast'!$B$9)*(15-Leistungsdaten!E31)+'Planungstool Heizlast'!$B$21))</f>
        <v>9.4666650248517392</v>
      </c>
      <c r="I31" s="1">
        <f>IF('Planungstool Heizlast'!$B$4="EU13L",Leistungsdaten!E31,IF('Planungstool Heizlast'!$B$4="EU08L",A31,""))</f>
        <v>-19.311496260782398</v>
      </c>
      <c r="J31" s="1">
        <f>IF(OR('Planungstool Heizlast'!$B$10="Fußbodenheizung 35°C",'Planungstool Heizlast'!$B$10="Niedertemperaturheizkörper 45°C"),IF('Planungstool Heizlast'!$B$4="EU13L",Leistungsdaten!F31,IF('Planungstool Heizlast'!$B$4="EU08L",Leistungsdaten!B31,"")),IF('Planungstool Heizlast'!$B$4="EU13L",Leistungsdaten!F31,IF('Planungstool Heizlast'!$B$4="EU08L",Leistungsdaten!B31,""))*0.9)*'Planungstool Heizlast'!$B$5</f>
        <v>6.1604805744507098</v>
      </c>
      <c r="K31" s="1">
        <f>IF('Planungstool Heizlast'!$B$4="EU13L",Leistungsdaten!G31,IF('Planungstool Heizlast'!$B$4="EU08L",Leistungsdaten!C31,""))*$B$237</f>
        <v>10.413331527336913</v>
      </c>
      <c r="L31" s="1">
        <f t="shared" si="1"/>
        <v>-4.2528509528862033</v>
      </c>
    </row>
    <row r="32" spans="1:12" x14ac:dyDescent="0.25">
      <c r="A32">
        <v>-19.0993804058552</v>
      </c>
      <c r="B32">
        <v>6.1968746460929998</v>
      </c>
      <c r="C32">
        <f>IF(A32&lt;'Planungstool Heizlast'!$B$9,'Planungstool Heizlast'!$B$22,IF(A32&gt;15,'Planungstool Heizlast'!$B$21,'Planungstool Heizlast'!$B$20/(15-'Planungstool Heizlast'!$B$9)*(15-Leistungsdaten!A32)+'Planungstool Heizlast'!$B$21))</f>
        <v>9.4666650248517392</v>
      </c>
      <c r="E32">
        <v>-16.231221377954299</v>
      </c>
      <c r="F32">
        <v>10.877746587026699</v>
      </c>
      <c r="G32">
        <f>IF(E32&lt;'Planungstool Heizlast'!$B$9,'Planungstool Heizlast'!$B$22,IF(E32&gt;15,'Planungstool Heizlast'!$B$21,'Planungstool Heizlast'!$B$20/(15-'Planungstool Heizlast'!$B$9)*(15-Leistungsdaten!E32)+'Planungstool Heizlast'!$B$21))</f>
        <v>9.4666650248517392</v>
      </c>
      <c r="I32" s="1">
        <f>IF('Planungstool Heizlast'!$B$4="EU13L",Leistungsdaten!E32,IF('Planungstool Heizlast'!$B$4="EU08L",A32,""))</f>
        <v>-19.0993804058552</v>
      </c>
      <c r="J32" s="1">
        <f>IF(OR('Planungstool Heizlast'!$B$10="Fußbodenheizung 35°C",'Planungstool Heizlast'!$B$10="Niedertemperaturheizkörper 45°C"),IF('Planungstool Heizlast'!$B$4="EU13L",Leistungsdaten!F32,IF('Planungstool Heizlast'!$B$4="EU08L",Leistungsdaten!B32,"")),IF('Planungstool Heizlast'!$B$4="EU13L",Leistungsdaten!F32,IF('Planungstool Heizlast'!$B$4="EU08L",Leistungsdaten!B32,""))*0.9)*'Planungstool Heizlast'!$B$5</f>
        <v>6.1968746460929998</v>
      </c>
      <c r="K32" s="1">
        <f>IF('Planungstool Heizlast'!$B$4="EU13L",Leistungsdaten!G32,IF('Planungstool Heizlast'!$B$4="EU08L",Leistungsdaten!C32,""))*$B$237</f>
        <v>10.413331527336913</v>
      </c>
      <c r="L32" s="1">
        <f t="shared" si="1"/>
        <v>-4.2164568812439134</v>
      </c>
    </row>
    <row r="33" spans="1:12" x14ac:dyDescent="0.25">
      <c r="A33">
        <v>-18.887116005715399</v>
      </c>
      <c r="B33">
        <v>6.2334632330040902</v>
      </c>
      <c r="C33">
        <f>IF(A33&lt;'Planungstool Heizlast'!$B$9,'Planungstool Heizlast'!$B$22,IF(A33&gt;15,'Planungstool Heizlast'!$B$21,'Planungstool Heizlast'!$B$20/(15-'Planungstool Heizlast'!$B$9)*(15-Leistungsdaten!A33)+'Planungstool Heizlast'!$B$21))</f>
        <v>9.4666650248517392</v>
      </c>
      <c r="E33">
        <v>-16.008024913602299</v>
      </c>
      <c r="F33">
        <v>10.934889457774799</v>
      </c>
      <c r="G33">
        <f>IF(E33&lt;'Planungstool Heizlast'!$B$9,'Planungstool Heizlast'!$B$22,IF(E33&gt;15,'Planungstool Heizlast'!$B$21,'Planungstool Heizlast'!$B$20/(15-'Planungstool Heizlast'!$B$9)*(15-Leistungsdaten!E33)+'Planungstool Heizlast'!$B$21))</f>
        <v>9.4666650248517392</v>
      </c>
      <c r="I33" s="1">
        <f>IF('Planungstool Heizlast'!$B$4="EU13L",Leistungsdaten!E33,IF('Planungstool Heizlast'!$B$4="EU08L",A33,""))</f>
        <v>-18.887116005715399</v>
      </c>
      <c r="J33" s="1">
        <f>IF(OR('Planungstool Heizlast'!$B$10="Fußbodenheizung 35°C",'Planungstool Heizlast'!$B$10="Niedertemperaturheizkörper 45°C"),IF('Planungstool Heizlast'!$B$4="EU13L",Leistungsdaten!F33,IF('Planungstool Heizlast'!$B$4="EU08L",Leistungsdaten!B33,"")),IF('Planungstool Heizlast'!$B$4="EU13L",Leistungsdaten!F33,IF('Planungstool Heizlast'!$B$4="EU08L",Leistungsdaten!B33,""))*0.9)*'Planungstool Heizlast'!$B$5</f>
        <v>6.2334632330040902</v>
      </c>
      <c r="K33" s="1">
        <f>IF('Planungstool Heizlast'!$B$4="EU13L",Leistungsdaten!G33,IF('Planungstool Heizlast'!$B$4="EU08L",Leistungsdaten!C33,""))*$B$237</f>
        <v>10.413331527336913</v>
      </c>
      <c r="L33" s="1">
        <f t="shared" si="1"/>
        <v>-4.1798682943328229</v>
      </c>
    </row>
    <row r="34" spans="1:12" x14ac:dyDescent="0.25">
      <c r="A34">
        <v>-18.6747033956654</v>
      </c>
      <c r="B34">
        <v>6.27024319003971</v>
      </c>
      <c r="C34">
        <f>IF(A34&lt;'Planungstool Heizlast'!$B$9,'Planungstool Heizlast'!$B$22,IF(A34&gt;15,'Planungstool Heizlast'!$B$21,'Planungstool Heizlast'!$B$20/(15-'Planungstool Heizlast'!$B$9)*(15-Leistungsdaten!A34)+'Planungstool Heizlast'!$B$21))</f>
        <v>9.4666650248517392</v>
      </c>
      <c r="E34">
        <v>-15.7847233569079</v>
      </c>
      <c r="F34">
        <v>10.9920698443707</v>
      </c>
      <c r="G34">
        <f>IF(E34&lt;'Planungstool Heizlast'!$B$9,'Planungstool Heizlast'!$B$22,IF(E34&gt;15,'Planungstool Heizlast'!$B$21,'Planungstool Heizlast'!$B$20/(15-'Planungstool Heizlast'!$B$9)*(15-Leistungsdaten!E34)+'Planungstool Heizlast'!$B$21))</f>
        <v>9.4666650248517392</v>
      </c>
      <c r="I34" s="1">
        <f>IF('Planungstool Heizlast'!$B$4="EU13L",Leistungsdaten!E34,IF('Planungstool Heizlast'!$B$4="EU08L",A34,""))</f>
        <v>-18.6747033956654</v>
      </c>
      <c r="J34" s="1">
        <f>IF(OR('Planungstool Heizlast'!$B$10="Fußbodenheizung 35°C",'Planungstool Heizlast'!$B$10="Niedertemperaturheizkörper 45°C"),IF('Planungstool Heizlast'!$B$4="EU13L",Leistungsdaten!F34,IF('Planungstool Heizlast'!$B$4="EU08L",Leistungsdaten!B34,"")),IF('Planungstool Heizlast'!$B$4="EU13L",Leistungsdaten!F34,IF('Planungstool Heizlast'!$B$4="EU08L",Leistungsdaten!B34,""))*0.9)*'Planungstool Heizlast'!$B$5</f>
        <v>6.27024319003971</v>
      </c>
      <c r="K34" s="1">
        <f>IF('Planungstool Heizlast'!$B$4="EU13L",Leistungsdaten!G34,IF('Planungstool Heizlast'!$B$4="EU08L",Leistungsdaten!C34,""))*$B$237</f>
        <v>10.413331527336913</v>
      </c>
      <c r="L34" s="1">
        <f t="shared" si="1"/>
        <v>-4.1430883372972032</v>
      </c>
    </row>
    <row r="35" spans="1:12" x14ac:dyDescent="0.25">
      <c r="A35">
        <v>-18.462142934757701</v>
      </c>
      <c r="B35">
        <v>6.3072113339918898</v>
      </c>
      <c r="C35">
        <f>IF(A35&lt;'Planungstool Heizlast'!$B$9,'Planungstool Heizlast'!$B$22,IF(A35&gt;15,'Planungstool Heizlast'!$B$21,'Planungstool Heizlast'!$B$20/(15-'Planungstool Heizlast'!$B$9)*(15-Leistungsdaten!A35)+'Planungstool Heizlast'!$B$21))</f>
        <v>9.4666650248517392</v>
      </c>
      <c r="E35">
        <v>-15.561317488673801</v>
      </c>
      <c r="F35">
        <v>11.049283260964</v>
      </c>
      <c r="G35">
        <f>IF(E35&lt;'Planungstool Heizlast'!$B$9,'Planungstool Heizlast'!$B$22,IF(E35&gt;15,'Planungstool Heizlast'!$B$21,'Planungstool Heizlast'!$B$20/(15-'Planungstool Heizlast'!$B$9)*(15-Leistungsdaten!E35)+'Planungstool Heizlast'!$B$21))</f>
        <v>9.4666650248517392</v>
      </c>
      <c r="I35" s="1">
        <f>IF('Planungstool Heizlast'!$B$4="EU13L",Leistungsdaten!E35,IF('Planungstool Heizlast'!$B$4="EU08L",A35,""))</f>
        <v>-18.462142934757701</v>
      </c>
      <c r="J35" s="1">
        <f>IF(OR('Planungstool Heizlast'!$B$10="Fußbodenheizung 35°C",'Planungstool Heizlast'!$B$10="Niedertemperaturheizkörper 45°C"),IF('Planungstool Heizlast'!$B$4="EU13L",Leistungsdaten!F35,IF('Planungstool Heizlast'!$B$4="EU08L",Leistungsdaten!B35,"")),IF('Planungstool Heizlast'!$B$4="EU13L",Leistungsdaten!F35,IF('Planungstool Heizlast'!$B$4="EU08L",Leistungsdaten!B35,""))*0.9)*'Planungstool Heizlast'!$B$5</f>
        <v>6.3072113339918898</v>
      </c>
      <c r="K35" s="1">
        <f>IF('Planungstool Heizlast'!$B$4="EU13L",Leistungsdaten!G35,IF('Planungstool Heizlast'!$B$4="EU08L",Leistungsdaten!C35,""))*$B$237</f>
        <v>10.413331527336913</v>
      </c>
      <c r="L35" s="1">
        <f t="shared" si="1"/>
        <v>-4.1061201933450233</v>
      </c>
    </row>
    <row r="36" spans="1:12" x14ac:dyDescent="0.25">
      <c r="A36">
        <v>-18.249435005247701</v>
      </c>
      <c r="B36">
        <v>6.3443644429824699</v>
      </c>
      <c r="C36">
        <f>IF(A36&lt;'Planungstool Heizlast'!$B$9,'Planungstool Heizlast'!$B$22,IF(A36&gt;15,'Planungstool Heizlast'!$B$21,'Planungstool Heizlast'!$B$20/(15-'Planungstool Heizlast'!$B$9)*(15-Leistungsdaten!A36)+'Planungstool Heizlast'!$B$21))</f>
        <v>9.4666650248517392</v>
      </c>
      <c r="E36">
        <v>-15.337808092846799</v>
      </c>
      <c r="F36">
        <v>11.106525149816999</v>
      </c>
      <c r="G36">
        <f>IF(E36&lt;'Planungstool Heizlast'!$B$9,'Planungstool Heizlast'!$B$22,IF(E36&gt;15,'Planungstool Heizlast'!$B$21,'Planungstool Heizlast'!$B$20/(15-'Planungstool Heizlast'!$B$9)*(15-Leistungsdaten!E36)+'Planungstool Heizlast'!$B$21))</f>
        <v>9.4666650248517392</v>
      </c>
      <c r="I36" s="1">
        <f>IF('Planungstool Heizlast'!$B$4="EU13L",Leistungsdaten!E36,IF('Planungstool Heizlast'!$B$4="EU08L",A36,""))</f>
        <v>-18.249435005247701</v>
      </c>
      <c r="J36" s="1">
        <f>IF(OR('Planungstool Heizlast'!$B$10="Fußbodenheizung 35°C",'Planungstool Heizlast'!$B$10="Niedertemperaturheizkörper 45°C"),IF('Planungstool Heizlast'!$B$4="EU13L",Leistungsdaten!F36,IF('Planungstool Heizlast'!$B$4="EU08L",Leistungsdaten!B36,"")),IF('Planungstool Heizlast'!$B$4="EU13L",Leistungsdaten!F36,IF('Planungstool Heizlast'!$B$4="EU08L",Leistungsdaten!B36,""))*0.9)*'Planungstool Heizlast'!$B$5</f>
        <v>6.3443644429824699</v>
      </c>
      <c r="K36" s="1">
        <f>IF('Planungstool Heizlast'!$B$4="EU13L",Leistungsdaten!G36,IF('Planungstool Heizlast'!$B$4="EU08L",Leistungsdaten!C36,""))*$B$237</f>
        <v>10.413331527336913</v>
      </c>
      <c r="L36" s="1">
        <f t="shared" si="1"/>
        <v>-4.0689670843544432</v>
      </c>
    </row>
    <row r="37" spans="1:12" x14ac:dyDescent="0.25">
      <c r="A37">
        <v>-18.036580012046699</v>
      </c>
      <c r="B37">
        <v>6.3816992558452803</v>
      </c>
      <c r="C37">
        <f>IF(A37&lt;'Planungstool Heizlast'!$B$9,'Planungstool Heizlast'!$B$22,IF(A37&gt;15,'Planungstool Heizlast'!$B$21,'Planungstool Heizlast'!$B$20/(15-'Planungstool Heizlast'!$B$9)*(15-Leistungsdaten!A37)+'Planungstool Heizlast'!$B$21))</f>
        <v>9.4666650248517392</v>
      </c>
      <c r="E37">
        <v>-15.106919580843201</v>
      </c>
      <c r="F37">
        <v>11.1624728056837</v>
      </c>
      <c r="G37">
        <f>IF(E37&lt;'Planungstool Heizlast'!$B$9,'Planungstool Heizlast'!$B$22,IF(E37&gt;15,'Planungstool Heizlast'!$B$21,'Planungstool Heizlast'!$B$20/(15-'Planungstool Heizlast'!$B$9)*(15-Leistungsdaten!E37)+'Planungstool Heizlast'!$B$21))</f>
        <v>9.4666650248517392</v>
      </c>
      <c r="I37" s="1">
        <f>IF('Planungstool Heizlast'!$B$4="EU13L",Leistungsdaten!E37,IF('Planungstool Heizlast'!$B$4="EU08L",A37,""))</f>
        <v>-18.036580012046699</v>
      </c>
      <c r="J37" s="1">
        <f>IF(OR('Planungstool Heizlast'!$B$10="Fußbodenheizung 35°C",'Planungstool Heizlast'!$B$10="Niedertemperaturheizkörper 45°C"),IF('Planungstool Heizlast'!$B$4="EU13L",Leistungsdaten!F37,IF('Planungstool Heizlast'!$B$4="EU08L",Leistungsdaten!B37,"")),IF('Planungstool Heizlast'!$B$4="EU13L",Leistungsdaten!F37,IF('Planungstool Heizlast'!$B$4="EU08L",Leistungsdaten!B37,""))*0.9)*'Planungstool Heizlast'!$B$5</f>
        <v>6.3816992558452803</v>
      </c>
      <c r="K37" s="1">
        <f>IF('Planungstool Heizlast'!$B$4="EU13L",Leistungsdaten!G37,IF('Planungstool Heizlast'!$B$4="EU08L",Leistungsdaten!C37,""))*$B$237</f>
        <v>10.413331527336913</v>
      </c>
      <c r="L37" s="1">
        <f t="shared" si="1"/>
        <v>-4.0316322714916328</v>
      </c>
    </row>
    <row r="38" spans="1:12" x14ac:dyDescent="0.25">
      <c r="A38">
        <v>-17.823578382175</v>
      </c>
      <c r="B38">
        <v>6.4192124714970697</v>
      </c>
      <c r="C38">
        <f>IF(A38&lt;'Planungstool Heizlast'!$B$9,'Planungstool Heizlast'!$B$22,IF(A38&gt;15,'Planungstool Heizlast'!$B$21,'Planungstool Heizlast'!$B$20/(15-'Planungstool Heizlast'!$B$9)*(15-Leistungsdaten!A38)+'Planungstool Heizlast'!$B$21))</f>
        <v>9.4666650248517392</v>
      </c>
      <c r="E38">
        <v>-14.869756838904699</v>
      </c>
      <c r="F38">
        <v>11.217235330967601</v>
      </c>
      <c r="G38">
        <f>IF(E38&lt;'Planungstool Heizlast'!$B$9,'Planungstool Heizlast'!$B$22,IF(E38&gt;15,'Planungstool Heizlast'!$B$21,'Planungstool Heizlast'!$B$20/(15-'Planungstool Heizlast'!$B$9)*(15-Leistungsdaten!E38)+'Planungstool Heizlast'!$B$21))</f>
        <v>9.4666650248517392</v>
      </c>
      <c r="I38" s="1">
        <f>IF('Planungstool Heizlast'!$B$4="EU13L",Leistungsdaten!E38,IF('Planungstool Heizlast'!$B$4="EU08L",A38,""))</f>
        <v>-17.823578382175</v>
      </c>
      <c r="J38" s="1">
        <f>IF(OR('Planungstool Heizlast'!$B$10="Fußbodenheizung 35°C",'Planungstool Heizlast'!$B$10="Niedertemperaturheizkörper 45°C"),IF('Planungstool Heizlast'!$B$4="EU13L",Leistungsdaten!F38,IF('Planungstool Heizlast'!$B$4="EU08L",Leistungsdaten!B38,"")),IF('Planungstool Heizlast'!$B$4="EU13L",Leistungsdaten!F38,IF('Planungstool Heizlast'!$B$4="EU08L",Leistungsdaten!B38,""))*0.9)*'Planungstool Heizlast'!$B$5</f>
        <v>6.4192124714970697</v>
      </c>
      <c r="K38" s="1">
        <f>IF('Planungstool Heizlast'!$B$4="EU13L",Leistungsdaten!G38,IF('Planungstool Heizlast'!$B$4="EU08L",Leistungsdaten!C38,""))*$B$237</f>
        <v>10.413331527336913</v>
      </c>
      <c r="L38" s="1">
        <f t="shared" si="1"/>
        <v>-3.9941190558398434</v>
      </c>
    </row>
    <row r="39" spans="1:12" x14ac:dyDescent="0.25">
      <c r="A39">
        <v>-17.610430564218099</v>
      </c>
      <c r="B39">
        <v>6.4569007482966896</v>
      </c>
      <c r="C39">
        <f>IF(A39&lt;'Planungstool Heizlast'!$B$9,'Planungstool Heizlast'!$B$22,IF(A39&gt;15,'Planungstool Heizlast'!$B$21,'Planungstool Heizlast'!$B$20/(15-'Planungstool Heizlast'!$B$9)*(15-Leistungsdaten!A39)+'Planungstool Heizlast'!$B$21))</f>
        <v>9.4666650248517392</v>
      </c>
      <c r="E39">
        <v>-14.632465324245899</v>
      </c>
      <c r="F39">
        <v>11.271891948514901</v>
      </c>
      <c r="G39">
        <f>IF(E39&lt;'Planungstool Heizlast'!$B$9,'Planungstool Heizlast'!$B$22,IF(E39&gt;15,'Planungstool Heizlast'!$B$21,'Planungstool Heizlast'!$B$20/(15-'Planungstool Heizlast'!$B$9)*(15-Leistungsdaten!E39)+'Planungstool Heizlast'!$B$21))</f>
        <v>9.4666650248517392</v>
      </c>
      <c r="I39" s="1">
        <f>IF('Planungstool Heizlast'!$B$4="EU13L",Leistungsdaten!E39,IF('Planungstool Heizlast'!$B$4="EU08L",A39,""))</f>
        <v>-17.610430564218099</v>
      </c>
      <c r="J39" s="1">
        <f>IF(OR('Planungstool Heizlast'!$B$10="Fußbodenheizung 35°C",'Planungstool Heizlast'!$B$10="Niedertemperaturheizkörper 45°C"),IF('Planungstool Heizlast'!$B$4="EU13L",Leistungsdaten!F39,IF('Planungstool Heizlast'!$B$4="EU08L",Leistungsdaten!B39,"")),IF('Planungstool Heizlast'!$B$4="EU13L",Leistungsdaten!F39,IF('Planungstool Heizlast'!$B$4="EU08L",Leistungsdaten!B39,""))*0.9)*'Planungstool Heizlast'!$B$5</f>
        <v>6.4569007482966896</v>
      </c>
      <c r="K39" s="1">
        <f>IF('Planungstool Heizlast'!$B$4="EU13L",Leistungsdaten!G39,IF('Planungstool Heizlast'!$B$4="EU08L",Leistungsdaten!C39,""))*$B$237</f>
        <v>10.413331527336913</v>
      </c>
      <c r="L39" s="1">
        <f t="shared" si="1"/>
        <v>-3.9564307790402236</v>
      </c>
    </row>
    <row r="40" spans="1:12" x14ac:dyDescent="0.25">
      <c r="A40">
        <v>-17.397137027784101</v>
      </c>
      <c r="B40">
        <v>6.4947607033926298</v>
      </c>
      <c r="C40">
        <f>IF(A40&lt;'Planungstool Heizlast'!$B$9,'Planungstool Heizlast'!$B$22,IF(A40&gt;15,'Planungstool Heizlast'!$B$21,'Planungstool Heizlast'!$B$20/(15-'Planungstool Heizlast'!$B$9)*(15-Leistungsdaten!A40)+'Planungstool Heizlast'!$B$21))</f>
        <v>9.4666650248517392</v>
      </c>
      <c r="E40">
        <v>-14.395045999325299</v>
      </c>
      <c r="F40">
        <v>11.3264336408596</v>
      </c>
      <c r="G40">
        <f>IF(E40&lt;'Planungstool Heizlast'!$B$9,'Planungstool Heizlast'!$B$22,IF(E40&gt;15,'Planungstool Heizlast'!$B$21,'Planungstool Heizlast'!$B$20/(15-'Planungstool Heizlast'!$B$9)*(15-Leistungsdaten!E40)+'Planungstool Heizlast'!$B$21))</f>
        <v>9.4666650248517392</v>
      </c>
      <c r="I40" s="1">
        <f>IF('Planungstool Heizlast'!$B$4="EU13L",Leistungsdaten!E40,IF('Planungstool Heizlast'!$B$4="EU08L",A40,""))</f>
        <v>-17.397137027784101</v>
      </c>
      <c r="J40" s="1">
        <f>IF(OR('Planungstool Heizlast'!$B$10="Fußbodenheizung 35°C",'Planungstool Heizlast'!$B$10="Niedertemperaturheizkörper 45°C"),IF('Planungstool Heizlast'!$B$4="EU13L",Leistungsdaten!F40,IF('Planungstool Heizlast'!$B$4="EU08L",Leistungsdaten!B40,"")),IF('Planungstool Heizlast'!$B$4="EU13L",Leistungsdaten!F40,IF('Planungstool Heizlast'!$B$4="EU08L",Leistungsdaten!B40,""))*0.9)*'Planungstool Heizlast'!$B$5</f>
        <v>6.4947607033926298</v>
      </c>
      <c r="K40" s="1">
        <f>IF('Planungstool Heizlast'!$B$4="EU13L",Leistungsdaten!G40,IF('Planungstool Heizlast'!$B$4="EU08L",Leistungsdaten!C40,""))*$B$237</f>
        <v>10.413331527336913</v>
      </c>
      <c r="L40" s="1">
        <f t="shared" si="1"/>
        <v>-3.9185708239442834</v>
      </c>
    </row>
    <row r="41" spans="1:12" x14ac:dyDescent="0.25">
      <c r="A41">
        <v>-17.183698262965802</v>
      </c>
      <c r="B41">
        <v>6.5327889120584697</v>
      </c>
      <c r="C41">
        <f>IF(A41&lt;'Planungstool Heizlast'!$B$9,'Planungstool Heizlast'!$B$22,IF(A41&gt;15,'Planungstool Heizlast'!$B$21,'Planungstool Heizlast'!$B$20/(15-'Planungstool Heizlast'!$B$9)*(15-Leistungsdaten!A41)+'Planungstool Heizlast'!$B$21))</f>
        <v>9.4666650248517392</v>
      </c>
      <c r="E41">
        <v>-14.1574998327008</v>
      </c>
      <c r="F41">
        <v>11.380851190364099</v>
      </c>
      <c r="G41">
        <f>IF(E41&lt;'Planungstool Heizlast'!$B$9,'Planungstool Heizlast'!$B$22,IF(E41&gt;15,'Planungstool Heizlast'!$B$21,'Planungstool Heizlast'!$B$20/(15-'Planungstool Heizlast'!$B$9)*(15-Leistungsdaten!E41)+'Planungstool Heizlast'!$B$21))</f>
        <v>9.4666650248517392</v>
      </c>
      <c r="I41" s="1">
        <f>IF('Planungstool Heizlast'!$B$4="EU13L",Leistungsdaten!E41,IF('Planungstool Heizlast'!$B$4="EU08L",A41,""))</f>
        <v>-17.183698262965802</v>
      </c>
      <c r="J41" s="1">
        <f>IF(OR('Planungstool Heizlast'!$B$10="Fußbodenheizung 35°C",'Planungstool Heizlast'!$B$10="Niedertemperaturheizkörper 45°C"),IF('Planungstool Heizlast'!$B$4="EU13L",Leistungsdaten!F41,IF('Planungstool Heizlast'!$B$4="EU08L",Leistungsdaten!B41,"")),IF('Planungstool Heizlast'!$B$4="EU13L",Leistungsdaten!F41,IF('Planungstool Heizlast'!$B$4="EU08L",Leistungsdaten!B41,""))*0.9)*'Planungstool Heizlast'!$B$5</f>
        <v>6.5327889120584697</v>
      </c>
      <c r="K41" s="1">
        <f>IF('Planungstool Heizlast'!$B$4="EU13L",Leistungsdaten!G41,IF('Planungstool Heizlast'!$B$4="EU08L",Leistungsdaten!C41,""))*$B$237</f>
        <v>10.413331527336913</v>
      </c>
      <c r="L41" s="1">
        <f t="shared" si="1"/>
        <v>-3.8805426152784435</v>
      </c>
    </row>
    <row r="42" spans="1:12" x14ac:dyDescent="0.25">
      <c r="A42">
        <v>-16.9701147798066</v>
      </c>
      <c r="B42">
        <v>6.5709819070162796</v>
      </c>
      <c r="C42">
        <f>IF(A42&lt;'Planungstool Heizlast'!$B$9,'Planungstool Heizlast'!$B$22,IF(A42&gt;15,'Planungstool Heizlast'!$B$21,'Planungstool Heizlast'!$B$20/(15-'Planungstool Heizlast'!$B$9)*(15-Leistungsdaten!A42)+'Planungstool Heizlast'!$B$21))</f>
        <v>9.4666650248517392</v>
      </c>
      <c r="E42">
        <v>-13.9198277990302</v>
      </c>
      <c r="F42">
        <v>11.4351351747372</v>
      </c>
      <c r="G42">
        <f>IF(E42&lt;'Planungstool Heizlast'!$B$9,'Planungstool Heizlast'!$B$22,IF(E42&gt;15,'Planungstool Heizlast'!$B$21,'Planungstool Heizlast'!$B$20/(15-'Planungstool Heizlast'!$B$9)*(15-Leistungsdaten!E42)+'Planungstool Heizlast'!$B$21))</f>
        <v>9.4666650248517392</v>
      </c>
      <c r="I42" s="1">
        <f>IF('Planungstool Heizlast'!$B$4="EU13L",Leistungsdaten!E42,IF('Planungstool Heizlast'!$B$4="EU08L",A42,""))</f>
        <v>-16.9701147798066</v>
      </c>
      <c r="J42" s="1">
        <f>IF(OR('Planungstool Heizlast'!$B$10="Fußbodenheizung 35°C",'Planungstool Heizlast'!$B$10="Niedertemperaturheizkörper 45°C"),IF('Planungstool Heizlast'!$B$4="EU13L",Leistungsdaten!F42,IF('Planungstool Heizlast'!$B$4="EU08L",Leistungsdaten!B42,"")),IF('Planungstool Heizlast'!$B$4="EU13L",Leistungsdaten!F42,IF('Planungstool Heizlast'!$B$4="EU08L",Leistungsdaten!B42,""))*0.9)*'Planungstool Heizlast'!$B$5</f>
        <v>6.5709819070162796</v>
      </c>
      <c r="K42" s="1">
        <f>IF('Planungstool Heizlast'!$B$4="EU13L",Leistungsdaten!G42,IF('Planungstool Heizlast'!$B$4="EU08L",Leistungsdaten!C42,""))*$B$237</f>
        <v>10.413331527336913</v>
      </c>
      <c r="L42" s="1">
        <f t="shared" si="1"/>
        <v>-3.8423496203206335</v>
      </c>
    </row>
    <row r="43" spans="1:12" x14ac:dyDescent="0.25">
      <c r="A43">
        <v>-16.7563871077713</v>
      </c>
      <c r="B43">
        <v>6.6093361777475401</v>
      </c>
      <c r="C43">
        <f>IF(A43&lt;'Planungstool Heizlast'!$B$9,'Planungstool Heizlast'!$B$22,IF(A43&gt;15,'Planungstool Heizlast'!$B$21,'Planungstool Heizlast'!$B$20/(15-'Planungstool Heizlast'!$B$9)*(15-Leistungsdaten!A43)+'Planungstool Heizlast'!$B$21))</f>
        <v>9.4666650248517392</v>
      </c>
      <c r="E43">
        <v>-13.682030879070901</v>
      </c>
      <c r="F43">
        <v>11.489275962455901</v>
      </c>
      <c r="G43">
        <f>IF(E43&lt;'Planungstool Heizlast'!$B$9,'Planungstool Heizlast'!$B$22,IF(E43&gt;15,'Planungstool Heizlast'!$B$21,'Planungstool Heizlast'!$B$20/(15-'Planungstool Heizlast'!$B$9)*(15-Leistungsdaten!E43)+'Planungstool Heizlast'!$B$21))</f>
        <v>9.4666650248517392</v>
      </c>
      <c r="I43" s="1">
        <f>IF('Planungstool Heizlast'!$B$4="EU13L",Leistungsdaten!E43,IF('Planungstool Heizlast'!$B$4="EU08L",A43,""))</f>
        <v>-16.7563871077713</v>
      </c>
      <c r="J43" s="1">
        <f>IF(OR('Planungstool Heizlast'!$B$10="Fußbodenheizung 35°C",'Planungstool Heizlast'!$B$10="Niedertemperaturheizkörper 45°C"),IF('Planungstool Heizlast'!$B$4="EU13L",Leistungsdaten!F43,IF('Planungstool Heizlast'!$B$4="EU08L",Leistungsdaten!B43,"")),IF('Planungstool Heizlast'!$B$4="EU13L",Leistungsdaten!F43,IF('Planungstool Heizlast'!$B$4="EU08L",Leistungsdaten!B43,""))*0.9)*'Planungstool Heizlast'!$B$5</f>
        <v>6.6093361777475401</v>
      </c>
      <c r="K43" s="1">
        <f>IF('Planungstool Heizlast'!$B$4="EU13L",Leistungsdaten!G43,IF('Planungstool Heizlast'!$B$4="EU08L",Leistungsdaten!C43,""))*$B$237</f>
        <v>10.413331527336913</v>
      </c>
      <c r="L43" s="1">
        <f t="shared" si="1"/>
        <v>-3.803995349589373</v>
      </c>
    </row>
    <row r="44" spans="1:12" x14ac:dyDescent="0.25">
      <c r="A44">
        <v>-16.542515795222499</v>
      </c>
      <c r="B44">
        <v>6.6478481697916001</v>
      </c>
      <c r="C44">
        <f>IF(A44&lt;'Planungstool Heizlast'!$B$9,'Planungstool Heizlast'!$B$22,IF(A44&gt;15,'Planungstool Heizlast'!$B$21,'Planungstool Heizlast'!$B$20/(15-'Planungstool Heizlast'!$B$9)*(15-Leistungsdaten!A44)+'Planungstool Heizlast'!$B$21))</f>
        <v>9.4666650248517392</v>
      </c>
      <c r="E44">
        <v>-13.4441100596799</v>
      </c>
      <c r="F44">
        <v>11.543263708089899</v>
      </c>
      <c r="G44">
        <f>IF(E44&lt;'Planungstool Heizlast'!$B$9,'Planungstool Heizlast'!$B$22,IF(E44&gt;15,'Planungstool Heizlast'!$B$21,'Planungstool Heizlast'!$B$20/(15-'Planungstool Heizlast'!$B$9)*(15-Leistungsdaten!E44)+'Planungstool Heizlast'!$B$21))</f>
        <v>9.4666650248517392</v>
      </c>
      <c r="I44" s="1">
        <f>IF('Planungstool Heizlast'!$B$4="EU13L",Leistungsdaten!E44,IF('Planungstool Heizlast'!$B$4="EU08L",A44,""))</f>
        <v>-16.542515795222499</v>
      </c>
      <c r="J44" s="1">
        <f>IF(OR('Planungstool Heizlast'!$B$10="Fußbodenheizung 35°C",'Planungstool Heizlast'!$B$10="Niedertemperaturheizkörper 45°C"),IF('Planungstool Heizlast'!$B$4="EU13L",Leistungsdaten!F44,IF('Planungstool Heizlast'!$B$4="EU08L",Leistungsdaten!B44,"")),IF('Planungstool Heizlast'!$B$4="EU13L",Leistungsdaten!F44,IF('Planungstool Heizlast'!$B$4="EU08L",Leistungsdaten!B44,""))*0.9)*'Planungstool Heizlast'!$B$5</f>
        <v>6.6478481697916001</v>
      </c>
      <c r="K44" s="1">
        <f>IF('Planungstool Heizlast'!$B$4="EU13L",Leistungsdaten!G44,IF('Planungstool Heizlast'!$B$4="EU08L",Leistungsdaten!C44,""))*$B$237</f>
        <v>10.413331527336913</v>
      </c>
      <c r="L44" s="1">
        <f t="shared" si="1"/>
        <v>-3.765483357545313</v>
      </c>
    </row>
    <row r="45" spans="1:12" x14ac:dyDescent="0.25">
      <c r="A45">
        <v>-16.3285014089032</v>
      </c>
      <c r="B45">
        <v>6.6865142840312899</v>
      </c>
      <c r="C45">
        <f>IF(A45&lt;'Planungstool Heizlast'!$B$9,'Planungstool Heizlast'!$B$22,IF(A45&gt;15,'Planungstool Heizlast'!$B$21,'Planungstool Heizlast'!$B$20/(15-'Planungstool Heizlast'!$B$9)*(15-Leistungsdaten!A45)+'Planungstool Heizlast'!$B$21))</f>
        <v>9.4666650248517392</v>
      </c>
      <c r="E45">
        <v>-13.2060663338141</v>
      </c>
      <c r="F45">
        <v>11.5970883475268</v>
      </c>
      <c r="G45">
        <f>IF(E45&lt;'Planungstool Heizlast'!$B$9,'Planungstool Heizlast'!$B$22,IF(E45&gt;15,'Planungstool Heizlast'!$B$21,'Planungstool Heizlast'!$B$20/(15-'Planungstool Heizlast'!$B$9)*(15-Leistungsdaten!E45)+'Planungstool Heizlast'!$B$21))</f>
        <v>9.4666650248517392</v>
      </c>
      <c r="I45" s="1">
        <f>IF('Planungstool Heizlast'!$B$4="EU13L",Leistungsdaten!E45,IF('Planungstool Heizlast'!$B$4="EU08L",A45,""))</f>
        <v>-16.3285014089032</v>
      </c>
      <c r="J45" s="1">
        <f>IF(OR('Planungstool Heizlast'!$B$10="Fußbodenheizung 35°C",'Planungstool Heizlast'!$B$10="Niedertemperaturheizkörper 45°C"),IF('Planungstool Heizlast'!$B$4="EU13L",Leistungsdaten!F45,IF('Planungstool Heizlast'!$B$4="EU08L",Leistungsdaten!B45,"")),IF('Planungstool Heizlast'!$B$4="EU13L",Leistungsdaten!F45,IF('Planungstool Heizlast'!$B$4="EU08L",Leistungsdaten!B45,""))*0.9)*'Planungstool Heizlast'!$B$5</f>
        <v>6.6865142840312899</v>
      </c>
      <c r="K45" s="1">
        <f>IF('Planungstool Heizlast'!$B$4="EU13L",Leistungsdaten!G45,IF('Planungstool Heizlast'!$B$4="EU08L",Leistungsdaten!C45,""))*$B$237</f>
        <v>10.413331527336913</v>
      </c>
      <c r="L45" s="1">
        <f t="shared" si="1"/>
        <v>-3.7268172433056233</v>
      </c>
    </row>
    <row r="46" spans="1:12" x14ac:dyDescent="0.25">
      <c r="A46">
        <v>-16.114344533426401</v>
      </c>
      <c r="B46">
        <v>6.7253308759656596</v>
      </c>
      <c r="C46">
        <f>IF(A46&lt;'Planungstool Heizlast'!$B$9,'Planungstool Heizlast'!$B$22,IF(A46&gt;15,'Planungstool Heizlast'!$B$21,'Planungstool Heizlast'!$B$20/(15-'Planungstool Heizlast'!$B$9)*(15-Leistungsdaten!A46)+'Planungstool Heizlast'!$B$21))</f>
        <v>9.4666650248517392</v>
      </c>
      <c r="E46">
        <v>-12.9679007005297</v>
      </c>
      <c r="F46">
        <v>11.6507395930971</v>
      </c>
      <c r="G46">
        <f>IF(E46&lt;'Planungstool Heizlast'!$B$9,'Planungstool Heizlast'!$B$22,IF(E46&gt;15,'Planungstool Heizlast'!$B$21,'Planungstool Heizlast'!$B$20/(15-'Planungstool Heizlast'!$B$9)*(15-Leistungsdaten!E46)+'Planungstool Heizlast'!$B$21))</f>
        <v>9.4570567892796191</v>
      </c>
      <c r="I46" s="1">
        <f>IF('Planungstool Heizlast'!$B$4="EU13L",Leistungsdaten!E46,IF('Planungstool Heizlast'!$B$4="EU08L",A46,""))</f>
        <v>-16.114344533426401</v>
      </c>
      <c r="J46" s="1">
        <f>IF(OR('Planungstool Heizlast'!$B$10="Fußbodenheizung 35°C",'Planungstool Heizlast'!$B$10="Niedertemperaturheizkörper 45°C"),IF('Planungstool Heizlast'!$B$4="EU13L",Leistungsdaten!F46,IF('Planungstool Heizlast'!$B$4="EU08L",Leistungsdaten!B46,"")),IF('Planungstool Heizlast'!$B$4="EU13L",Leistungsdaten!F46,IF('Planungstool Heizlast'!$B$4="EU08L",Leistungsdaten!B46,""))*0.9)*'Planungstool Heizlast'!$B$5</f>
        <v>6.7253308759656596</v>
      </c>
      <c r="K46" s="1">
        <f>IF('Planungstool Heizlast'!$B$4="EU13L",Leistungsdaten!G46,IF('Planungstool Heizlast'!$B$4="EU08L",Leistungsdaten!C46,""))*$B$237</f>
        <v>10.413331527336913</v>
      </c>
      <c r="L46" s="1">
        <f>J46-K46</f>
        <v>-3.6880006513712535</v>
      </c>
    </row>
    <row r="47" spans="1:12" x14ac:dyDescent="0.25">
      <c r="A47">
        <v>-15.9000457707713</v>
      </c>
      <c r="B47">
        <v>6.7642942549694203</v>
      </c>
      <c r="C47">
        <f>IF(A47&lt;'Planungstool Heizlast'!$B$9,'Planungstool Heizlast'!$B$22,IF(A47&gt;15,'Planungstool Heizlast'!$B$21,'Planungstool Heizlast'!$B$20/(15-'Planungstool Heizlast'!$B$9)*(15-Leistungsdaten!A47)+'Planungstool Heizlast'!$B$21))</f>
        <v>9.4666650248517392</v>
      </c>
      <c r="E47">
        <v>-12.729614164982801</v>
      </c>
      <c r="F47">
        <v>11.7042069285951</v>
      </c>
      <c r="G47">
        <f>IF(E47&lt;'Planungstool Heizlast'!$B$9,'Planungstool Heizlast'!$B$22,IF(E47&gt;15,'Planungstool Heizlast'!$B$21,'Planungstool Heizlast'!$B$20/(15-'Planungstool Heizlast'!$B$9)*(15-Leistungsdaten!E47)+'Planungstool Heizlast'!$B$21))</f>
        <v>9.3857308349759307</v>
      </c>
      <c r="I47" s="1">
        <f>IF('Planungstool Heizlast'!$B$4="EU13L",Leistungsdaten!E47,IF('Planungstool Heizlast'!$B$4="EU08L",A47,""))</f>
        <v>-15.9000457707713</v>
      </c>
      <c r="J47" s="1">
        <f>IF(OR('Planungstool Heizlast'!$B$10="Fußbodenheizung 35°C",'Planungstool Heizlast'!$B$10="Niedertemperaturheizkörper 45°C"),IF('Planungstool Heizlast'!$B$4="EU13L",Leistungsdaten!F47,IF('Planungstool Heizlast'!$B$4="EU08L",Leistungsdaten!B47,"")),IF('Planungstool Heizlast'!$B$4="EU13L",Leistungsdaten!F47,IF('Planungstool Heizlast'!$B$4="EU08L",Leistungsdaten!B47,""))*0.9)*'Planungstool Heizlast'!$B$5</f>
        <v>6.7642942549694203</v>
      </c>
      <c r="K47" s="1">
        <f>IF('Planungstool Heizlast'!$B$4="EU13L",Leistungsdaten!G47,IF('Planungstool Heizlast'!$B$4="EU08L",Leistungsdaten!C47,""))*$B$237</f>
        <v>10.413331527336913</v>
      </c>
      <c r="L47" s="1">
        <f t="shared" si="1"/>
        <v>-3.6490372723674929</v>
      </c>
    </row>
    <row r="48" spans="1:12" x14ac:dyDescent="0.25">
      <c r="A48">
        <v>-15.6856057397875</v>
      </c>
      <c r="B48">
        <v>6.8034006835390999</v>
      </c>
      <c r="C48">
        <f>IF(A48&lt;'Planungstool Heizlast'!$B$9,'Planungstool Heizlast'!$B$22,IF(A48&gt;15,'Planungstool Heizlast'!$B$21,'Planungstool Heizlast'!$B$20/(15-'Planungstool Heizlast'!$B$9)*(15-Leistungsdaten!A48)+'Planungstool Heizlast'!$B$21))</f>
        <v>9.4666650248517392</v>
      </c>
      <c r="E48">
        <v>-12.4912077384294</v>
      </c>
      <c r="F48">
        <v>11.7574796041967</v>
      </c>
      <c r="G48">
        <f>IF(E48&lt;'Planungstool Heizlast'!$B$9,'Planungstool Heizlast'!$B$22,IF(E48&gt;15,'Planungstool Heizlast'!$B$21,'Planungstool Heizlast'!$B$20/(15-'Planungstool Heizlast'!$B$9)*(15-Leistungsdaten!E48)+'Planungstool Heizlast'!$B$21))</f>
        <v>9.3143689938755703</v>
      </c>
      <c r="I48" s="1">
        <f>IF('Planungstool Heizlast'!$B$4="EU13L",Leistungsdaten!E48,IF('Planungstool Heizlast'!$B$4="EU08L",A48,""))</f>
        <v>-15.6856057397875</v>
      </c>
      <c r="J48" s="1">
        <f>IF(OR('Planungstool Heizlast'!$B$10="Fußbodenheizung 35°C",'Planungstool Heizlast'!$B$10="Niedertemperaturheizkörper 45°C"),IF('Planungstool Heizlast'!$B$4="EU13L",Leistungsdaten!F48,IF('Planungstool Heizlast'!$B$4="EU08L",Leistungsdaten!B48,"")),IF('Planungstool Heizlast'!$B$4="EU13L",Leistungsdaten!F48,IF('Planungstool Heizlast'!$B$4="EU08L",Leistungsdaten!B48,""))*0.9)*'Planungstool Heizlast'!$B$5</f>
        <v>6.8034006835390999</v>
      </c>
      <c r="K48" s="1">
        <f>IF('Planungstool Heizlast'!$B$4="EU13L",Leistungsdaten!G48,IF('Planungstool Heizlast'!$B$4="EU08L",Leistungsdaten!C48,""))*$B$237</f>
        <v>10.413331527336913</v>
      </c>
      <c r="L48" s="1">
        <f t="shared" si="1"/>
        <v>-3.6099308437978133</v>
      </c>
    </row>
    <row r="49" spans="1:12" x14ac:dyDescent="0.25">
      <c r="A49">
        <v>-15.4710250757074</v>
      </c>
      <c r="B49">
        <v>6.8426463765256003</v>
      </c>
      <c r="C49">
        <f>IF(A49&lt;'Planungstool Heizlast'!$B$9,'Planungstool Heizlast'!$B$22,IF(A49&gt;15,'Planungstool Heizlast'!$B$21,'Planungstool Heizlast'!$B$20/(15-'Planungstool Heizlast'!$B$9)*(15-Leistungsdaten!A49)+'Planungstool Heizlast'!$B$21))</f>
        <v>9.4666650248517392</v>
      </c>
      <c r="E49">
        <v>-12.252682438224699</v>
      </c>
      <c r="F49">
        <v>11.8105466312693</v>
      </c>
      <c r="G49">
        <f>IF(E49&lt;'Planungstool Heizlast'!$B$9,'Planungstool Heizlast'!$B$22,IF(E49&gt;15,'Planungstool Heizlast'!$B$21,'Planungstool Heizlast'!$B$20/(15-'Planungstool Heizlast'!$B$9)*(15-Leistungsdaten!E49)+'Planungstool Heizlast'!$B$21))</f>
        <v>9.2429715705019539</v>
      </c>
      <c r="I49" s="1">
        <f>IF('Planungstool Heizlast'!$B$4="EU13L",Leistungsdaten!E49,IF('Planungstool Heizlast'!$B$4="EU08L",A49,""))</f>
        <v>-15.4710250757074</v>
      </c>
      <c r="J49" s="1">
        <f>IF(OR('Planungstool Heizlast'!$B$10="Fußbodenheizung 35°C",'Planungstool Heizlast'!$B$10="Niedertemperaturheizkörper 45°C"),IF('Planungstool Heizlast'!$B$4="EU13L",Leistungsdaten!F49,IF('Planungstool Heizlast'!$B$4="EU08L",Leistungsdaten!B49,"")),IF('Planungstool Heizlast'!$B$4="EU13L",Leistungsdaten!F49,IF('Planungstool Heizlast'!$B$4="EU08L",Leistungsdaten!B49,""))*0.9)*'Planungstool Heizlast'!$B$5</f>
        <v>6.8426463765256003</v>
      </c>
      <c r="K49" s="1">
        <f>IF('Planungstool Heizlast'!$B$4="EU13L",Leistungsdaten!G49,IF('Planungstool Heizlast'!$B$4="EU08L",Leistungsdaten!C49,""))*$B$237</f>
        <v>10.413331527336913</v>
      </c>
      <c r="L49" s="1">
        <f t="shared" si="1"/>
        <v>-3.5706851508113129</v>
      </c>
    </row>
    <row r="50" spans="1:12" x14ac:dyDescent="0.25">
      <c r="A50">
        <v>-15.256304429666701</v>
      </c>
      <c r="B50">
        <v>6.8820275003528497</v>
      </c>
      <c r="C50">
        <f>IF(A50&lt;'Planungstool Heizlast'!$B$9,'Planungstool Heizlast'!$B$22,IF(A50&gt;15,'Planungstool Heizlast'!$B$21,'Planungstool Heizlast'!$B$20/(15-'Planungstool Heizlast'!$B$9)*(15-Leistungsdaten!A50)+'Planungstool Heizlast'!$B$21))</f>
        <v>9.4666650248517392</v>
      </c>
      <c r="E50">
        <v>-12.0140392878239</v>
      </c>
      <c r="F50">
        <v>11.863396777074099</v>
      </c>
      <c r="G50">
        <f>IF(E50&lt;'Planungstool Heizlast'!$B$9,'Planungstool Heizlast'!$B$22,IF(E50&gt;15,'Planungstool Heizlast'!$B$21,'Planungstool Heizlast'!$B$20/(15-'Planungstool Heizlast'!$B$9)*(15-Leistungsdaten!E50)+'Planungstool Heizlast'!$B$21))</f>
        <v>9.1715388712044064</v>
      </c>
      <c r="I50" s="1">
        <f>IF('Planungstool Heizlast'!$B$4="EU13L",Leistungsdaten!E50,IF('Planungstool Heizlast'!$B$4="EU08L",A50,""))</f>
        <v>-15.256304429666701</v>
      </c>
      <c r="J50" s="1">
        <f>IF(OR('Planungstool Heizlast'!$B$10="Fußbodenheizung 35°C",'Planungstool Heizlast'!$B$10="Niedertemperaturheizkörper 45°C"),IF('Planungstool Heizlast'!$B$4="EU13L",Leistungsdaten!F50,IF('Planungstool Heizlast'!$B$4="EU08L",Leistungsdaten!B50,"")),IF('Planungstool Heizlast'!$B$4="EU13L",Leistungsdaten!F50,IF('Planungstool Heizlast'!$B$4="EU08L",Leistungsdaten!B50,""))*0.9)*'Planungstool Heizlast'!$B$5</f>
        <v>6.8820275003528497</v>
      </c>
      <c r="K50" s="1">
        <f>IF('Planungstool Heizlast'!$B$4="EU13L",Leistungsdaten!G50,IF('Planungstool Heizlast'!$B$4="EU08L",Leistungsdaten!C50,""))*$B$237</f>
        <v>10.413331527336913</v>
      </c>
      <c r="L50" s="1">
        <f t="shared" si="1"/>
        <v>-3.5313040269840634</v>
      </c>
    </row>
    <row r="51" spans="1:12" x14ac:dyDescent="0.25">
      <c r="A51">
        <v>-15.0414444682336</v>
      </c>
      <c r="B51">
        <v>6.9215401722225298</v>
      </c>
      <c r="C51">
        <f>IF(A51&lt;'Planungstool Heizlast'!$B$9,'Planungstool Heizlast'!$B$22,IF(A51&gt;15,'Planungstool Heizlast'!$B$21,'Planungstool Heizlast'!$B$20/(15-'Planungstool Heizlast'!$B$9)*(15-Leistungsdaten!A51)+'Planungstool Heizlast'!$B$21))</f>
        <v>9.4666650248517392</v>
      </c>
      <c r="E51">
        <v>-11.7752793167818</v>
      </c>
      <c r="F51">
        <v>11.916018559358101</v>
      </c>
      <c r="G51">
        <f>IF(E51&lt;'Planungstool Heizlast'!$B$9,'Planungstool Heizlast'!$B$22,IF(E51&gt;15,'Planungstool Heizlast'!$B$21,'Planungstool Heizlast'!$B$20/(15-'Planungstool Heizlast'!$B$9)*(15-Leistungsdaten!E51)+'Planungstool Heizlast'!$B$21))</f>
        <v>9.1000712041580361</v>
      </c>
      <c r="I51" s="1">
        <f>IF('Planungstool Heizlast'!$B$4="EU13L",Leistungsdaten!E51,IF('Planungstool Heizlast'!$B$4="EU08L",A51,""))</f>
        <v>-15.0414444682336</v>
      </c>
      <c r="J51" s="1">
        <f>IF(OR('Planungstool Heizlast'!$B$10="Fußbodenheizung 35°C",'Planungstool Heizlast'!$B$10="Niedertemperaturheizkörper 45°C"),IF('Planungstool Heizlast'!$B$4="EU13L",Leistungsdaten!F51,IF('Planungstool Heizlast'!$B$4="EU08L",Leistungsdaten!B51,"")),IF('Planungstool Heizlast'!$B$4="EU13L",Leistungsdaten!F51,IF('Planungstool Heizlast'!$B$4="EU08L",Leistungsdaten!B51,""))*0.9)*'Planungstool Heizlast'!$B$5</f>
        <v>6.9215401722225298</v>
      </c>
      <c r="K51" s="1">
        <f>IF('Planungstool Heizlast'!$B$4="EU13L",Leistungsdaten!G51,IF('Planungstool Heizlast'!$B$4="EU08L",Leistungsdaten!C51,""))*$B$237</f>
        <v>10.413331527336913</v>
      </c>
      <c r="L51" s="1">
        <f t="shared" si="1"/>
        <v>-3.4917913551143833</v>
      </c>
    </row>
    <row r="52" spans="1:12" x14ac:dyDescent="0.25">
      <c r="A52">
        <v>-14.826445872947099</v>
      </c>
      <c r="B52">
        <v>6.9611804593045301</v>
      </c>
      <c r="C52">
        <f>IF(A52&lt;'Planungstool Heizlast'!$B$9,'Planungstool Heizlast'!$B$22,IF(A52&gt;15,'Planungstool Heizlast'!$B$21,'Planungstool Heizlast'!$B$20/(15-'Planungstool Heizlast'!$B$9)*(15-Leistungsdaten!A52)+'Planungstool Heizlast'!$B$21))</f>
        <v>9.4666650248517392</v>
      </c>
      <c r="E52">
        <v>-11.536403560752801</v>
      </c>
      <c r="F52">
        <v>11.968400240833001</v>
      </c>
      <c r="G52">
        <f>IF(E52&lt;'Planungstool Heizlast'!$B$9,'Planungstool Heizlast'!$B$22,IF(E52&gt;15,'Planungstool Heizlast'!$B$21,'Planungstool Heizlast'!$B$20/(15-'Planungstool Heizlast'!$B$9)*(15-Leistungsdaten!E52)+'Planungstool Heizlast'!$B$21))</f>
        <v>9.0285688793637355</v>
      </c>
      <c r="I52" s="1">
        <f>IF('Planungstool Heizlast'!$B$4="EU13L",Leistungsdaten!E52,IF('Planungstool Heizlast'!$B$4="EU08L",A52,""))</f>
        <v>-14.826445872947099</v>
      </c>
      <c r="J52" s="1">
        <f>IF(OR('Planungstool Heizlast'!$B$10="Fußbodenheizung 35°C",'Planungstool Heizlast'!$B$10="Niedertemperaturheizkörper 45°C"),IF('Planungstool Heizlast'!$B$4="EU13L",Leistungsdaten!F52,IF('Planungstool Heizlast'!$B$4="EU08L",Leistungsdaten!B52,"")),IF('Planungstool Heizlast'!$B$4="EU13L",Leistungsdaten!F52,IF('Planungstool Heizlast'!$B$4="EU08L",Leistungsdaten!B52,""))*0.9)*'Planungstool Heizlast'!$B$5</f>
        <v>6.9611804593045301</v>
      </c>
      <c r="K52" s="1">
        <f>IF('Planungstool Heizlast'!$B$4="EU13L",Leistungsdaten!G52,IF('Planungstool Heizlast'!$B$4="EU08L",Leistungsdaten!C52,""))*$B$237</f>
        <v>10.413331527336913</v>
      </c>
      <c r="L52" s="1">
        <f t="shared" si="1"/>
        <v>-3.452151068032383</v>
      </c>
    </row>
    <row r="53" spans="1:12" x14ac:dyDescent="0.25">
      <c r="A53">
        <v>-14.6113093398645</v>
      </c>
      <c r="B53">
        <v>7.0009443779128899</v>
      </c>
      <c r="C53">
        <f>IF(A53&lt;'Planungstool Heizlast'!$B$9,'Planungstool Heizlast'!$B$22,IF(A53&gt;15,'Planungstool Heizlast'!$B$21,'Planungstool Heizlast'!$B$20/(15-'Planungstool Heizlast'!$B$9)*(15-Leistungsdaten!A53)+'Planungstool Heizlast'!$B$21))</f>
        <v>9.4666650248517392</v>
      </c>
      <c r="E53">
        <v>-11.297413061491101</v>
      </c>
      <c r="F53">
        <v>12.0205298235407</v>
      </c>
      <c r="G53">
        <f>IF(E53&lt;'Planungstool Heizlast'!$B$9,'Planungstool Heizlast'!$B$22,IF(E53&gt;15,'Planungstool Heizlast'!$B$21,'Planungstool Heizlast'!$B$20/(15-'Planungstool Heizlast'!$B$9)*(15-Leistungsdaten!E53)+'Planungstool Heizlast'!$B$21))</f>
        <v>8.9570322086482346</v>
      </c>
      <c r="I53" s="1">
        <f>IF('Planungstool Heizlast'!$B$4="EU13L",Leistungsdaten!E53,IF('Planungstool Heizlast'!$B$4="EU08L",A53,""))</f>
        <v>-14.6113093398645</v>
      </c>
      <c r="J53" s="1">
        <f>IF(OR('Planungstool Heizlast'!$B$10="Fußbodenheizung 35°C",'Planungstool Heizlast'!$B$10="Niedertemperaturheizkörper 45°C"),IF('Planungstool Heizlast'!$B$4="EU13L",Leistungsdaten!F53,IF('Planungstool Heizlast'!$B$4="EU08L",Leistungsdaten!B53,"")),IF('Planungstool Heizlast'!$B$4="EU13L",Leistungsdaten!F53,IF('Planungstool Heizlast'!$B$4="EU08L",Leistungsdaten!B53,""))*0.9)*'Planungstool Heizlast'!$B$5</f>
        <v>7.0009443779128899</v>
      </c>
      <c r="K53" s="1">
        <f>IF('Planungstool Heizlast'!$B$4="EU13L",Leistungsdaten!G53,IF('Planungstool Heizlast'!$B$4="EU08L",Leistungsdaten!C53,""))*$B$237</f>
        <v>10.413331527336913</v>
      </c>
      <c r="L53" s="1">
        <f t="shared" si="1"/>
        <v>-3.4123871494240232</v>
      </c>
    </row>
    <row r="54" spans="1:12" x14ac:dyDescent="0.25">
      <c r="A54">
        <v>-14.3960355791182</v>
      </c>
      <c r="B54">
        <v>7.0408278926671004</v>
      </c>
      <c r="C54">
        <f>IF(A54&lt;'Planungstool Heizlast'!$B$9,'Planungstool Heizlast'!$B$22,IF(A54&gt;15,'Planungstool Heizlast'!$B$21,'Planungstool Heizlast'!$B$20/(15-'Planungstool Heizlast'!$B$9)*(15-Leistungsdaten!A54)+'Planungstool Heizlast'!$B$21))</f>
        <v>9.4666650248517392</v>
      </c>
      <c r="E54">
        <v>-11.058308866850499</v>
      </c>
      <c r="F54">
        <v>12.0723950431024</v>
      </c>
      <c r="G54">
        <f>IF(E54&lt;'Planungstool Heizlast'!$B$9,'Planungstool Heizlast'!$B$22,IF(E54&gt;15,'Planungstool Heizlast'!$B$21,'Planungstool Heizlast'!$B$20/(15-'Planungstool Heizlast'!$B$9)*(15-Leistungsdaten!E54)+'Planungstool Heizlast'!$B$21))</f>
        <v>8.8854615056640576</v>
      </c>
      <c r="I54" s="1">
        <f>IF('Planungstool Heizlast'!$B$4="EU13L",Leistungsdaten!E54,IF('Planungstool Heizlast'!$B$4="EU08L",A54,""))</f>
        <v>-14.3960355791182</v>
      </c>
      <c r="J54" s="1">
        <f>IF(OR('Planungstool Heizlast'!$B$10="Fußbodenheizung 35°C",'Planungstool Heizlast'!$B$10="Niedertemperaturheizkörper 45°C"),IF('Planungstool Heizlast'!$B$4="EU13L",Leistungsdaten!F54,IF('Planungstool Heizlast'!$B$4="EU08L",Leistungsdaten!B54,"")),IF('Planungstool Heizlast'!$B$4="EU13L",Leistungsdaten!F54,IF('Planungstool Heizlast'!$B$4="EU08L",Leistungsdaten!B54,""))*0.9)*'Planungstool Heizlast'!$B$5</f>
        <v>7.0408278926671004</v>
      </c>
      <c r="K54" s="1">
        <f>IF('Planungstool Heizlast'!$B$4="EU13L",Leistungsdaten!G54,IF('Planungstool Heizlast'!$B$4="EU08L",Leistungsdaten!C54,""))*$B$237</f>
        <v>10.413331527336913</v>
      </c>
      <c r="L54" s="1">
        <f t="shared" si="1"/>
        <v>-3.3725036346698127</v>
      </c>
    </row>
    <row r="55" spans="1:12" x14ac:dyDescent="0.25">
      <c r="A55">
        <v>-14.180625314482301</v>
      </c>
      <c r="B55">
        <v>7.08082691563847</v>
      </c>
      <c r="C55">
        <f>IF(A55&lt;'Planungstool Heizlast'!$B$9,'Planungstool Heizlast'!$B$22,IF(A55&gt;15,'Planungstool Heizlast'!$B$21,'Planungstool Heizlast'!$B$20/(15-'Planungstool Heizlast'!$B$9)*(15-Leistungsdaten!A55)+'Planungstool Heizlast'!$B$21))</f>
        <v>9.4666650248517392</v>
      </c>
      <c r="E55">
        <v>-10.8190920307844</v>
      </c>
      <c r="F55">
        <v>12.123983362848399</v>
      </c>
      <c r="G55">
        <f>IF(E55&lt;'Planungstool Heizlast'!$B$9,'Planungstool Heizlast'!$B$22,IF(E55&gt;15,'Planungstool Heizlast'!$B$21,'Planungstool Heizlast'!$B$20/(15-'Planungstool Heizlast'!$B$9)*(15-Leistungsdaten!E55)+'Planungstool Heizlast'!$B$21))</f>
        <v>8.8138570858895058</v>
      </c>
      <c r="I55" s="1">
        <f>IF('Planungstool Heizlast'!$B$4="EU13L",Leistungsdaten!E55,IF('Planungstool Heizlast'!$B$4="EU08L",A55,""))</f>
        <v>-14.180625314482301</v>
      </c>
      <c r="J55" s="1">
        <f>IF(OR('Planungstool Heizlast'!$B$10="Fußbodenheizung 35°C",'Planungstool Heizlast'!$B$10="Niedertemperaturheizkörper 45°C"),IF('Planungstool Heizlast'!$B$4="EU13L",Leistungsdaten!F55,IF('Planungstool Heizlast'!$B$4="EU08L",Leistungsdaten!B55,"")),IF('Planungstool Heizlast'!$B$4="EU13L",Leistungsdaten!F55,IF('Planungstool Heizlast'!$B$4="EU08L",Leistungsdaten!B55,""))*0.9)*'Planungstool Heizlast'!$B$5</f>
        <v>7.08082691563847</v>
      </c>
      <c r="K55" s="1">
        <f>IF('Planungstool Heizlast'!$B$4="EU13L",Leistungsdaten!G55,IF('Planungstool Heizlast'!$B$4="EU08L",Leistungsdaten!C55,""))*$B$237</f>
        <v>10.413331527336913</v>
      </c>
      <c r="L55" s="1">
        <f t="shared" si="1"/>
        <v>-3.3325046116984431</v>
      </c>
    </row>
    <row r="56" spans="1:12" x14ac:dyDescent="0.25">
      <c r="A56">
        <v>-13.9650792829488</v>
      </c>
      <c r="B56">
        <v>7.1209373054813296</v>
      </c>
      <c r="C56">
        <f>IF(A56&lt;'Planungstool Heizlast'!$B$9,'Planungstool Heizlast'!$B$22,IF(A56&gt;15,'Planungstool Heizlast'!$B$21,'Planungstool Heizlast'!$B$20/(15-'Planungstool Heizlast'!$B$9)*(15-Leistungsdaten!A56)+'Planungstool Heizlast'!$B$21))</f>
        <v>9.4666650248517392</v>
      </c>
      <c r="E56">
        <v>-10.5797636133462</v>
      </c>
      <c r="F56">
        <v>12.175281967829299</v>
      </c>
      <c r="G56">
        <f>IF(E56&lt;'Planungstool Heizlast'!$B$9,'Planungstool Heizlast'!$B$22,IF(E56&gt;15,'Planungstool Heizlast'!$B$21,'Planungstool Heizlast'!$B$20/(15-'Planungstool Heizlast'!$B$9)*(15-Leistungsdaten!E56)+'Planungstool Heizlast'!$B$21))</f>
        <v>8.7422192666287906</v>
      </c>
      <c r="I56" s="1">
        <f>IF('Planungstool Heizlast'!$B$4="EU13L",Leistungsdaten!E56,IF('Planungstool Heizlast'!$B$4="EU08L",A56,""))</f>
        <v>-13.9650792829488</v>
      </c>
      <c r="J56" s="1">
        <f>IF(OR('Planungstool Heizlast'!$B$10="Fußbodenheizung 35°C",'Planungstool Heizlast'!$B$10="Niedertemperaturheizkörper 45°C"),IF('Planungstool Heizlast'!$B$4="EU13L",Leistungsdaten!F56,IF('Planungstool Heizlast'!$B$4="EU08L",Leistungsdaten!B56,"")),IF('Planungstool Heizlast'!$B$4="EU13L",Leistungsdaten!F56,IF('Planungstool Heizlast'!$B$4="EU08L",Leistungsdaten!B56,""))*0.9)*'Planungstool Heizlast'!$B$5</f>
        <v>7.1209373054813296</v>
      </c>
      <c r="K56" s="1">
        <f>IF('Planungstool Heizlast'!$B$4="EU13L",Leistungsdaten!G56,IF('Planungstool Heizlast'!$B$4="EU08L",Leistungsdaten!C56,""))*$B$237</f>
        <v>10.413331527336913</v>
      </c>
      <c r="L56" s="1">
        <f t="shared" si="1"/>
        <v>-3.2923942218555835</v>
      </c>
    </row>
    <row r="57" spans="1:12" x14ac:dyDescent="0.25">
      <c r="A57">
        <v>-13.7493982343134</v>
      </c>
      <c r="B57">
        <v>7.1611548665488796</v>
      </c>
      <c r="C57">
        <f>IF(A57&lt;'Planungstool Heizlast'!$B$9,'Planungstool Heizlast'!$B$22,IF(A57&gt;15,'Planungstool Heizlast'!$B$21,'Planungstool Heizlast'!$B$20/(15-'Planungstool Heizlast'!$B$9)*(15-Leistungsdaten!A57)+'Planungstool Heizlast'!$B$21))</f>
        <v>9.4666650248517392</v>
      </c>
      <c r="E57">
        <v>-10.3403246806885</v>
      </c>
      <c r="F57">
        <v>12.226277758703</v>
      </c>
      <c r="G57">
        <f>IF(E57&lt;'Planungstool Heizlast'!$B$9,'Planungstool Heizlast'!$B$22,IF(E57&gt;15,'Planungstool Heizlast'!$B$21,'Planungstool Heizlast'!$B$20/(15-'Planungstool Heizlast'!$B$9)*(15-Leistungsdaten!E57)+'Planungstool Heizlast'!$B$21))</f>
        <v>8.6705483670117793</v>
      </c>
      <c r="I57" s="1">
        <f>IF('Planungstool Heizlast'!$B$4="EU13L",Leistungsdaten!E57,IF('Planungstool Heizlast'!$B$4="EU08L",A57,""))</f>
        <v>-13.7493982343134</v>
      </c>
      <c r="J57" s="1">
        <f>IF(OR('Planungstool Heizlast'!$B$10="Fußbodenheizung 35°C",'Planungstool Heizlast'!$B$10="Niedertemperaturheizkörper 45°C"),IF('Planungstool Heizlast'!$B$4="EU13L",Leistungsdaten!F57,IF('Planungstool Heizlast'!$B$4="EU08L",Leistungsdaten!B57,"")),IF('Planungstool Heizlast'!$B$4="EU13L",Leistungsdaten!F57,IF('Planungstool Heizlast'!$B$4="EU08L",Leistungsdaten!B57,""))*0.9)*'Planungstool Heizlast'!$B$5</f>
        <v>7.1611548665488796</v>
      </c>
      <c r="K57" s="1">
        <f>IF('Planungstool Heizlast'!$B$4="EU13L",Leistungsdaten!G57,IF('Planungstool Heizlast'!$B$4="EU08L",Leistungsdaten!C57,""))*$B$237</f>
        <v>10.413331527336913</v>
      </c>
      <c r="L57" s="1">
        <f t="shared" si="1"/>
        <v>-3.2521766607880336</v>
      </c>
    </row>
    <row r="58" spans="1:12" x14ac:dyDescent="0.25">
      <c r="A58">
        <v>-13.5335829307719</v>
      </c>
      <c r="B58">
        <v>7.20147534799339</v>
      </c>
      <c r="C58">
        <f>IF(A58&lt;'Planungstool Heizlast'!$B$9,'Planungstool Heizlast'!$B$22,IF(A58&gt;15,'Planungstool Heizlast'!$B$21,'Planungstool Heizlast'!$B$20/(15-'Planungstool Heizlast'!$B$9)*(15-Leistungsdaten!A58)+'Planungstool Heizlast'!$B$21))</f>
        <v>9.4666650248517392</v>
      </c>
      <c r="E58">
        <v>-10.1007763050638</v>
      </c>
      <c r="F58">
        <v>12.276957345498399</v>
      </c>
      <c r="G58">
        <f>IF(E58&lt;'Planungstool Heizlast'!$B$9,'Planungstool Heizlast'!$B$22,IF(E58&gt;15,'Planungstool Heizlast'!$B$21,'Planungstool Heizlast'!$B$20/(15-'Planungstool Heizlast'!$B$9)*(15-Leistungsdaten!E58)+'Planungstool Heizlast'!$B$21))</f>
        <v>8.5988447079942212</v>
      </c>
      <c r="I58" s="1">
        <f>IF('Planungstool Heizlast'!$B$4="EU13L",Leistungsdaten!E58,IF('Planungstool Heizlast'!$B$4="EU08L",A58,""))</f>
        <v>-13.5335829307719</v>
      </c>
      <c r="J58" s="1">
        <f>IF(OR('Planungstool Heizlast'!$B$10="Fußbodenheizung 35°C",'Planungstool Heizlast'!$B$10="Niedertemperaturheizkörper 45°C"),IF('Planungstool Heizlast'!$B$4="EU13L",Leistungsdaten!F58,IF('Planungstool Heizlast'!$B$4="EU08L",Leistungsdaten!B58,"")),IF('Planungstool Heizlast'!$B$4="EU13L",Leistungsdaten!F58,IF('Planungstool Heizlast'!$B$4="EU08L",Leistungsdaten!B58,""))*0.9)*'Planungstool Heizlast'!$B$5</f>
        <v>7.20147534799339</v>
      </c>
      <c r="K58" s="1">
        <f>IF('Planungstool Heizlast'!$B$4="EU13L",Leistungsdaten!G58,IF('Planungstool Heizlast'!$B$4="EU08L",Leistungsdaten!C58,""))*$B$237</f>
        <v>10.413331527336913</v>
      </c>
      <c r="L58" s="1">
        <f t="shared" si="1"/>
        <v>-3.2118561793435232</v>
      </c>
    </row>
    <row r="59" spans="1:12" x14ac:dyDescent="0.25">
      <c r="A59">
        <v>-13.317634146525601</v>
      </c>
      <c r="B59">
        <v>7.2418944428505903</v>
      </c>
      <c r="C59">
        <f>IF(A59&lt;'Planungstool Heizlast'!$B$9,'Planungstool Heizlast'!$B$22,IF(A59&gt;15,'Planungstool Heizlast'!$B$21,'Planungstool Heizlast'!$B$20/(15-'Planungstool Heizlast'!$B$9)*(15-Leistungsdaten!A59)+'Planungstool Heizlast'!$B$21))</f>
        <v>9.4666650248517392</v>
      </c>
      <c r="E59">
        <v>-9.8611195648245005</v>
      </c>
      <c r="F59">
        <v>12.327307041252</v>
      </c>
      <c r="G59">
        <f>IF(E59&lt;'Planungstool Heizlast'!$B$9,'Planungstool Heizlast'!$B$22,IF(E59&gt;15,'Planungstool Heizlast'!$B$21,'Planungstool Heizlast'!$B$20/(15-'Planungstool Heizlast'!$B$9)*(15-Leistungsdaten!E59)+'Planungstool Heizlast'!$B$21))</f>
        <v>8.5271086123577344</v>
      </c>
      <c r="I59" s="1">
        <f>IF('Planungstool Heizlast'!$B$4="EU13L",Leistungsdaten!E59,IF('Planungstool Heizlast'!$B$4="EU08L",A59,""))</f>
        <v>-13.317634146525601</v>
      </c>
      <c r="J59" s="1">
        <f>IF(OR('Planungstool Heizlast'!$B$10="Fußbodenheizung 35°C",'Planungstool Heizlast'!$B$10="Niedertemperaturheizkörper 45°C"),IF('Planungstool Heizlast'!$B$4="EU13L",Leistungsdaten!F59,IF('Planungstool Heizlast'!$B$4="EU08L",Leistungsdaten!B59,"")),IF('Planungstool Heizlast'!$B$4="EU13L",Leistungsdaten!F59,IF('Planungstool Heizlast'!$B$4="EU08L",Leistungsdaten!B59,""))*0.9)*'Planungstool Heizlast'!$B$5</f>
        <v>7.2418944428505903</v>
      </c>
      <c r="K59" s="1">
        <f>IF('Planungstool Heizlast'!$B$4="EU13L",Leistungsdaten!G59,IF('Planungstool Heizlast'!$B$4="EU08L",Leistungsdaten!C59,""))*$B$237</f>
        <v>10.413331527336913</v>
      </c>
      <c r="L59" s="1">
        <f t="shared" si="1"/>
        <v>-3.1714370844863229</v>
      </c>
    </row>
    <row r="60" spans="1:12" x14ac:dyDescent="0.25">
      <c r="A60">
        <v>-13.1015526673977</v>
      </c>
      <c r="B60">
        <v>7.28240778710793</v>
      </c>
      <c r="C60">
        <f>IF(A60&lt;'Planungstool Heizlast'!$B$9,'Planungstool Heizlast'!$B$22,IF(A60&gt;15,'Planungstool Heizlast'!$B$21,'Planungstool Heizlast'!$B$20/(15-'Planungstool Heizlast'!$B$9)*(15-Leistungsdaten!A60)+'Planungstool Heizlast'!$B$21))</f>
        <v>9.4666650248517392</v>
      </c>
      <c r="E60">
        <v>-9.6213555444222898</v>
      </c>
      <c r="F60">
        <v>12.3773128555156</v>
      </c>
      <c r="G60">
        <f>IF(E60&lt;'Planungstool Heizlast'!$B$9,'Planungstool Heizlast'!$B$22,IF(E60&gt;15,'Planungstool Heizlast'!$B$21,'Planungstool Heizlast'!$B$20/(15-'Planungstool Heizlast'!$B$9)*(15-Leistungsdaten!E60)+'Planungstool Heizlast'!$B$21))</f>
        <v>8.4553404047096326</v>
      </c>
      <c r="I60" s="1">
        <f>IF('Planungstool Heizlast'!$B$4="EU13L",Leistungsdaten!E60,IF('Planungstool Heizlast'!$B$4="EU08L",A60,""))</f>
        <v>-13.1015526673977</v>
      </c>
      <c r="J60" s="1">
        <f>IF(OR('Planungstool Heizlast'!$B$10="Fußbodenheizung 35°C",'Planungstool Heizlast'!$B$10="Niedertemperaturheizkörper 45°C"),IF('Planungstool Heizlast'!$B$4="EU13L",Leistungsdaten!F60,IF('Planungstool Heizlast'!$B$4="EU08L",Leistungsdaten!B60,"")),IF('Planungstool Heizlast'!$B$4="EU13L",Leistungsdaten!F60,IF('Planungstool Heizlast'!$B$4="EU08L",Leistungsdaten!B60,""))*0.9)*'Planungstool Heizlast'!$B$5</f>
        <v>7.28240778710793</v>
      </c>
      <c r="K60" s="1">
        <f>IF('Planungstool Heizlast'!$B$4="EU13L",Leistungsdaten!G60,IF('Planungstool Heizlast'!$B$4="EU08L",Leistungsdaten!C60,""))*$B$237</f>
        <v>10.413331527336913</v>
      </c>
      <c r="L60" s="1">
        <f t="shared" si="1"/>
        <v>-3.1309237402289831</v>
      </c>
    </row>
    <row r="61" spans="1:12" x14ac:dyDescent="0.25">
      <c r="A61">
        <v>-12.8853392904589</v>
      </c>
      <c r="B61">
        <v>7.3230109587565302</v>
      </c>
      <c r="C61">
        <f>IF(A61&lt;'Planungstool Heizlast'!$B$9,'Planungstool Heizlast'!$B$22,IF(A61&gt;15,'Planungstool Heizlast'!$B$21,'Planungstool Heizlast'!$B$20/(15-'Planungstool Heizlast'!$B$9)*(15-Leistungsdaten!A61)+'Planungstool Heizlast'!$B$21))</f>
        <v>9.43234380518909</v>
      </c>
      <c r="E61">
        <v>-9.3814853344087599</v>
      </c>
      <c r="F61">
        <v>12.4269604877334</v>
      </c>
      <c r="G61">
        <f>IF(E61&lt;'Planungstool Heizlast'!$B$9,'Planungstool Heizlast'!$B$22,IF(E61&gt;15,'Planungstool Heizlast'!$B$21,'Planungstool Heizlast'!$B$20/(15-'Planungstool Heizlast'!$B$9)*(15-Leistungsdaten!E61)+'Planungstool Heizlast'!$B$21))</f>
        <v>8.3835404114831</v>
      </c>
      <c r="I61" s="1">
        <f>IF('Planungstool Heizlast'!$B$4="EU13L",Leistungsdaten!E61,IF('Planungstool Heizlast'!$B$4="EU08L",A61,""))</f>
        <v>-12.8853392904589</v>
      </c>
      <c r="J61" s="1">
        <f>IF(OR('Planungstool Heizlast'!$B$10="Fußbodenheizung 35°C",'Planungstool Heizlast'!$B$10="Niedertemperaturheizkörper 45°C"),IF('Planungstool Heizlast'!$B$4="EU13L",Leistungsdaten!F61,IF('Planungstool Heizlast'!$B$4="EU08L",Leistungsdaten!B61,"")),IF('Planungstool Heizlast'!$B$4="EU13L",Leistungsdaten!F61,IF('Planungstool Heizlast'!$B$4="EU08L",Leistungsdaten!B61,""))*0.9)*'Planungstool Heizlast'!$B$5</f>
        <v>7.3230109587565302</v>
      </c>
      <c r="K61" s="1">
        <f>IF('Planungstool Heizlast'!$B$4="EU13L",Leistungsdaten!G61,IF('Planungstool Heizlast'!$B$4="EU08L",Leistungsdaten!C61,""))*$B$237</f>
        <v>10.375578185707999</v>
      </c>
      <c r="L61" s="1">
        <f t="shared" si="1"/>
        <v>-3.052567226951469</v>
      </c>
    </row>
    <row r="62" spans="1:12" x14ac:dyDescent="0.25">
      <c r="A62">
        <v>-12.6689948236637</v>
      </c>
      <c r="B62">
        <v>7.36369947682656</v>
      </c>
      <c r="C62">
        <f>IF(A62&lt;'Planungstool Heizlast'!$B$9,'Planungstool Heizlast'!$B$22,IF(A62&gt;15,'Planungstool Heizlast'!$B$21,'Planungstool Heizlast'!$B$20/(15-'Planungstool Heizlast'!$B$9)*(15-Leistungsdaten!A62)+'Planungstool Heizlast'!$B$21))</f>
        <v>9.3675857376924352</v>
      </c>
      <c r="E62">
        <v>-9.1415100314351001</v>
      </c>
      <c r="F62">
        <v>12.4762353204859</v>
      </c>
      <c r="G62">
        <f>IF(E62&lt;'Planungstool Heizlast'!$B$9,'Planungstool Heizlast'!$B$22,IF(E62&gt;15,'Planungstool Heizlast'!$B$21,'Planungstool Heizlast'!$B$20/(15-'Planungstool Heizlast'!$B$9)*(15-Leistungsdaten!E62)+'Planungstool Heizlast'!$B$21))</f>
        <v>8.3117089609371071</v>
      </c>
      <c r="I62" s="1">
        <f>IF('Planungstool Heizlast'!$B$4="EU13L",Leistungsdaten!E62,IF('Planungstool Heizlast'!$B$4="EU08L",A62,""))</f>
        <v>-12.6689948236637</v>
      </c>
      <c r="J62" s="1">
        <f>IF(OR('Planungstool Heizlast'!$B$10="Fußbodenheizung 35°C",'Planungstool Heizlast'!$B$10="Niedertemperaturheizkörper 45°C"),IF('Planungstool Heizlast'!$B$4="EU13L",Leistungsdaten!F62,IF('Planungstool Heizlast'!$B$4="EU08L",Leistungsdaten!B62,"")),IF('Planungstool Heizlast'!$B$4="EU13L",Leistungsdaten!F62,IF('Planungstool Heizlast'!$B$4="EU08L",Leistungsdaten!B62,""))*0.9)*'Planungstool Heizlast'!$B$5</f>
        <v>7.36369947682656</v>
      </c>
      <c r="K62" s="1">
        <f>IF('Planungstool Heizlast'!$B$4="EU13L",Leistungsdaten!G62,IF('Planungstool Heizlast'!$B$4="EU08L",Leistungsdaten!C62,""))*$B$237</f>
        <v>10.30434431146168</v>
      </c>
      <c r="L62" s="1">
        <f t="shared" si="1"/>
        <v>-2.9406448346351199</v>
      </c>
    </row>
    <row r="63" spans="1:12" x14ac:dyDescent="0.25">
      <c r="A63">
        <v>-12.4525200854959</v>
      </c>
      <c r="B63">
        <v>7.4044688004057502</v>
      </c>
      <c r="C63">
        <f>IF(A63&lt;'Planungstool Heizlast'!$B$9,'Planungstool Heizlast'!$B$22,IF(A63&gt;15,'Planungstool Heizlast'!$B$21,'Planungstool Heizlast'!$B$20/(15-'Planungstool Heizlast'!$B$9)*(15-Leistungsdaten!A63)+'Planungstool Heizlast'!$B$21))</f>
        <v>9.3027886762595582</v>
      </c>
      <c r="E63">
        <v>-8.9014307382522198</v>
      </c>
      <c r="F63">
        <v>12.525122412598</v>
      </c>
      <c r="G63">
        <f>IF(E63&lt;'Planungstool Heizlast'!$B$9,'Planungstool Heizlast'!$B$22,IF(E63&gt;15,'Planungstool Heizlast'!$B$21,'Planungstool Heizlast'!$B$20/(15-'Planungstool Heizlast'!$B$9)*(15-Leistungsdaten!E63)+'Planungstool Heizlast'!$B$21))</f>
        <v>8.2398463831564435</v>
      </c>
      <c r="I63" s="1">
        <f>IF('Planungstool Heizlast'!$B$4="EU13L",Leistungsdaten!E63,IF('Planungstool Heizlast'!$B$4="EU08L",A63,""))</f>
        <v>-12.4525200854959</v>
      </c>
      <c r="J63" s="1">
        <f>IF(OR('Planungstool Heizlast'!$B$10="Fußbodenheizung 35°C",'Planungstool Heizlast'!$B$10="Niedertemperaturheizkörper 45°C"),IF('Planungstool Heizlast'!$B$4="EU13L",Leistungsdaten!F63,IF('Planungstool Heizlast'!$B$4="EU08L",Leistungsdaten!B63,"")),IF('Planungstool Heizlast'!$B$4="EU13L",Leistungsdaten!F63,IF('Planungstool Heizlast'!$B$4="EU08L",Leistungsdaten!B63,""))*0.9)*'Planungstool Heizlast'!$B$5</f>
        <v>7.4044688004057502</v>
      </c>
      <c r="K63" s="1">
        <f>IF('Planungstool Heizlast'!$B$4="EU13L",Leistungsdaten!G63,IF('Planungstool Heizlast'!$B$4="EU08L",Leistungsdaten!C63,""))*$B$237</f>
        <v>10.233067543885515</v>
      </c>
      <c r="L63" s="1">
        <f t="shared" si="1"/>
        <v>-2.8285987434797644</v>
      </c>
    </row>
    <row r="64" spans="1:12" x14ac:dyDescent="0.25">
      <c r="A64">
        <v>-12.2359159046249</v>
      </c>
      <c r="B64">
        <v>7.4453143276408902</v>
      </c>
      <c r="C64">
        <f>IF(A64&lt;'Planungstool Heizlast'!$B$9,'Planungstool Heizlast'!$B$22,IF(A64&gt;15,'Planungstool Heizlast'!$B$21,'Planungstool Heizlast'!$B$20/(15-'Planungstool Heizlast'!$B$9)*(15-Leistungsdaten!A64)+'Planungstool Heizlast'!$B$21))</f>
        <v>9.2379528689348422</v>
      </c>
      <c r="E64">
        <v>-8.6612485637106698</v>
      </c>
      <c r="F64">
        <v>12.5736064921102</v>
      </c>
      <c r="G64">
        <f>IF(E64&lt;'Planungstool Heizlast'!$B$9,'Planungstool Heizlast'!$B$22,IF(E64&gt;15,'Planungstool Heizlast'!$B$21,'Planungstool Heizlast'!$B$20/(15-'Planungstool Heizlast'!$B$9)*(15-Leistungsdaten!E64)+'Planungstool Heizlast'!$B$21))</f>
        <v>8.1679530100516953</v>
      </c>
      <c r="I64" s="1">
        <f>IF('Planungstool Heizlast'!$B$4="EU13L",Leistungsdaten!E64,IF('Planungstool Heizlast'!$B$4="EU08L",A64,""))</f>
        <v>-12.2359159046249</v>
      </c>
      <c r="J64" s="1">
        <f>IF(OR('Planungstool Heizlast'!$B$10="Fußbodenheizung 35°C",'Planungstool Heizlast'!$B$10="Niedertemperaturheizkörper 45°C"),IF('Planungstool Heizlast'!$B$4="EU13L",Leistungsdaten!F64,IF('Planungstool Heizlast'!$B$4="EU08L",Leistungsdaten!B64,"")),IF('Planungstool Heizlast'!$B$4="EU13L",Leistungsdaten!F64,IF('Planungstool Heizlast'!$B$4="EU08L",Leistungsdaten!B64,""))*0.9)*'Planungstool Heizlast'!$B$5</f>
        <v>7.4453143276408902</v>
      </c>
      <c r="K64" s="1">
        <f>IF('Planungstool Heizlast'!$B$4="EU13L",Leistungsdaten!G64,IF('Planungstool Heizlast'!$B$4="EU08L",Leistungsdaten!C64,""))*$B$237</f>
        <v>10.161748155828327</v>
      </c>
      <c r="L64" s="1">
        <f t="shared" si="1"/>
        <v>-2.7164338281874372</v>
      </c>
    </row>
    <row r="65" spans="1:12" x14ac:dyDescent="0.25">
      <c r="A65">
        <v>-12.019183119571199</v>
      </c>
      <c r="B65">
        <v>7.4862313947219699</v>
      </c>
      <c r="C65">
        <f>IF(A65&lt;'Planungstool Heizlast'!$B$9,'Planungstool Heizlast'!$B$22,IF(A65&gt;15,'Planungstool Heizlast'!$B$21,'Planungstool Heizlast'!$B$20/(15-'Planungstool Heizlast'!$B$9)*(15-Leistungsdaten!A65)+'Planungstool Heizlast'!$B$21))</f>
        <v>9.1730785667113803</v>
      </c>
      <c r="E65">
        <v>-8.42096462276068</v>
      </c>
      <c r="F65">
        <v>12.621671949109601</v>
      </c>
      <c r="G65">
        <f>IF(E65&lt;'Planungstool Heizlast'!$B$9,'Planungstool Heizlast'!$B$22,IF(E65&gt;15,'Planungstool Heizlast'!$B$21,'Planungstool Heizlast'!$B$20/(15-'Planungstool Heizlast'!$B$9)*(15-Leistungsdaten!E65)+'Planungstool Heizlast'!$B$21))</f>
        <v>8.0960291753592557</v>
      </c>
      <c r="I65" s="1">
        <f>IF('Planungstool Heizlast'!$B$4="EU13L",Leistungsdaten!E65,IF('Planungstool Heizlast'!$B$4="EU08L",A65,""))</f>
        <v>-12.019183119571199</v>
      </c>
      <c r="J65" s="1">
        <f>IF(OR('Planungstool Heizlast'!$B$10="Fußbodenheizung 35°C",'Planungstool Heizlast'!$B$10="Niedertemperaturheizkörper 45°C"),IF('Planungstool Heizlast'!$B$4="EU13L",Leistungsdaten!F65,IF('Planungstool Heizlast'!$B$4="EU08L",Leistungsdaten!B65,"")),IF('Planungstool Heizlast'!$B$4="EU13L",Leistungsdaten!F65,IF('Planungstool Heizlast'!$B$4="EU08L",Leistungsdaten!B65,""))*0.9)*'Planungstool Heizlast'!$B$5</f>
        <v>7.4862313947219699</v>
      </c>
      <c r="K65" s="1">
        <f>IF('Planungstool Heizlast'!$B$4="EU13L",Leistungsdaten!G65,IF('Planungstool Heizlast'!$B$4="EU08L",Leistungsdaten!C65,""))*$B$237</f>
        <v>10.090386423382519</v>
      </c>
      <c r="L65" s="1">
        <f t="shared" si="1"/>
        <v>-2.604155028660549</v>
      </c>
    </row>
    <row r="66" spans="1:12" x14ac:dyDescent="0.25">
      <c r="A66">
        <v>-11.8023225783821</v>
      </c>
      <c r="B66">
        <v>7.5272152748487198</v>
      </c>
      <c r="C66">
        <f>IF(A66&lt;'Planungstool Heizlast'!$B$9,'Planungstool Heizlast'!$B$22,IF(A66&gt;15,'Planungstool Heizlast'!$B$21,'Planungstool Heizlast'!$B$20/(15-'Planungstool Heizlast'!$B$9)*(15-Leistungsdaten!A66)+'Planungstool Heizlast'!$B$21))</f>
        <v>9.1081660234339079</v>
      </c>
      <c r="E66">
        <v>-8.1805800364521595</v>
      </c>
      <c r="F66">
        <v>12.6693028284189</v>
      </c>
      <c r="G66">
        <f>IF(E66&lt;'Planungstool Heizlast'!$B$9,'Planungstool Heizlast'!$B$22,IF(E66&gt;15,'Planungstool Heizlast'!$B$21,'Planungstool Heizlast'!$B$20/(15-'Planungstool Heizlast'!$B$9)*(15-Leistungsdaten!E66)+'Planungstool Heizlast'!$B$21))</f>
        <v>8.0240752146413286</v>
      </c>
      <c r="I66" s="1">
        <f>IF('Planungstool Heizlast'!$B$4="EU13L",Leistungsdaten!E66,IF('Planungstool Heizlast'!$B$4="EU08L",A66,""))</f>
        <v>-11.8023225783821</v>
      </c>
      <c r="J66" s="1">
        <f>IF(OR('Planungstool Heizlast'!$B$10="Fußbodenheizung 35°C",'Planungstool Heizlast'!$B$10="Niedertemperaturheizkörper 45°C"),IF('Planungstool Heizlast'!$B$4="EU13L",Leistungsdaten!F66,IF('Planungstool Heizlast'!$B$4="EU08L",Leistungsdaten!B66,"")),IF('Planungstool Heizlast'!$B$4="EU13L",Leistungsdaten!F66,IF('Planungstool Heizlast'!$B$4="EU08L",Leistungsdaten!B66,""))*0.9)*'Planungstool Heizlast'!$B$5</f>
        <v>7.5272152748487198</v>
      </c>
      <c r="K66" s="1">
        <f>IF('Planungstool Heizlast'!$B$4="EU13L",Leistungsdaten!G66,IF('Planungstool Heizlast'!$B$4="EU08L",Leistungsdaten!C66,""))*$B$237</f>
        <v>10.0189826257773</v>
      </c>
      <c r="L66" s="1">
        <f t="shared" si="1"/>
        <v>-2.4917673509285798</v>
      </c>
    </row>
    <row r="67" spans="1:12" x14ac:dyDescent="0.25">
      <c r="A67">
        <v>-11.5853351383166</v>
      </c>
      <c r="B67">
        <v>7.5682611771793704</v>
      </c>
      <c r="C67">
        <f>IF(A67&lt;'Planungstool Heizlast'!$B$9,'Planungstool Heizlast'!$B$22,IF(A67&gt;15,'Planungstool Heizlast'!$B$21,'Planungstool Heizlast'!$B$20/(15-'Planungstool Heizlast'!$B$9)*(15-Leistungsdaten!A67)+'Planungstool Heizlast'!$B$21))</f>
        <v>9.043215495704489</v>
      </c>
      <c r="E67">
        <v>-7.9400959319347004</v>
      </c>
      <c r="F67">
        <v>12.716482822140801</v>
      </c>
      <c r="G67">
        <f>IF(E67&lt;'Planungstool Heizlast'!$B$9,'Planungstool Heizlast'!$B$22,IF(E67&gt;15,'Planungstool Heizlast'!$B$21,'Planungstool Heizlast'!$B$20/(15-'Planungstool Heizlast'!$B$9)*(15-Leistungsdaten!E67)+'Planungstool Heizlast'!$B$21))</f>
        <v>7.9520914652859229</v>
      </c>
      <c r="I67" s="1">
        <f>IF('Planungstool Heizlast'!$B$4="EU13L",Leistungsdaten!E67,IF('Planungstool Heizlast'!$B$4="EU08L",A67,""))</f>
        <v>-11.5853351383166</v>
      </c>
      <c r="J67" s="1">
        <f>IF(OR('Planungstool Heizlast'!$B$10="Fußbodenheizung 35°C",'Planungstool Heizlast'!$B$10="Niedertemperaturheizkörper 45°C"),IF('Planungstool Heizlast'!$B$4="EU13L",Leistungsdaten!F67,IF('Planungstool Heizlast'!$B$4="EU08L",Leistungsdaten!B67,"")),IF('Planungstool Heizlast'!$B$4="EU13L",Leistungsdaten!F67,IF('Planungstool Heizlast'!$B$4="EU08L",Leistungsdaten!B67,""))*0.9)*'Planungstool Heizlast'!$B$5</f>
        <v>7.5682611771793704</v>
      </c>
      <c r="K67" s="1">
        <f>IF('Planungstool Heizlast'!$B$4="EU13L",Leistungsdaten!G67,IF('Planungstool Heizlast'!$B$4="EU08L",Leistungsdaten!C67,""))*$B$237</f>
        <v>9.9475370452749381</v>
      </c>
      <c r="L67" s="1">
        <f t="shared" si="1"/>
        <v>-2.3792758680955677</v>
      </c>
    </row>
    <row r="68" spans="1:12" x14ac:dyDescent="0.25">
      <c r="A68">
        <v>-11.3682216655404</v>
      </c>
      <c r="B68">
        <v>7.6093642457612498</v>
      </c>
      <c r="C68">
        <f>IF(A68&lt;'Planungstool Heizlast'!$B$9,'Planungstool Heizlast'!$B$22,IF(A68&gt;15,'Planungstool Heizlast'!$B$21,'Planungstool Heizlast'!$B$20/(15-'Planungstool Heizlast'!$B$9)*(15-Leistungsdaten!A68)+'Planungstool Heizlast'!$B$21))</f>
        <v>8.9782272427912133</v>
      </c>
      <c r="E68">
        <v>-7.6995134424575697</v>
      </c>
      <c r="F68">
        <v>12.763195262056</v>
      </c>
      <c r="G68">
        <f>IF(E68&lt;'Planungstool Heizlast'!$B$9,'Planungstool Heizlast'!$B$22,IF(E68&gt;15,'Planungstool Heizlast'!$B$21,'Planungstool Heizlast'!$B$20/(15-'Planungstool Heizlast'!$B$9)*(15-Leistungsdaten!E68)+'Planungstool Heizlast'!$B$21))</f>
        <v>7.8800782665068585</v>
      </c>
      <c r="I68" s="1">
        <f>IF('Planungstool Heizlast'!$B$4="EU13L",Leistungsdaten!E68,IF('Planungstool Heizlast'!$B$4="EU08L",A68,""))</f>
        <v>-11.3682216655404</v>
      </c>
      <c r="J68" s="1">
        <f>IF(OR('Planungstool Heizlast'!$B$10="Fußbodenheizung 35°C",'Planungstool Heizlast'!$B$10="Niedertemperaturheizkörper 45°C"),IF('Planungstool Heizlast'!$B$4="EU13L",Leistungsdaten!F68,IF('Planungstool Heizlast'!$B$4="EU08L",Leistungsdaten!B68,"")),IF('Planungstool Heizlast'!$B$4="EU13L",Leistungsdaten!F68,IF('Planungstool Heizlast'!$B$4="EU08L",Leistungsdaten!B68,""))*0.9)*'Planungstool Heizlast'!$B$5</f>
        <v>7.6093642457612498</v>
      </c>
      <c r="K68" s="1">
        <f>IF('Planungstool Heizlast'!$B$4="EU13L",Leistungsdaten!G68,IF('Planungstool Heizlast'!$B$4="EU08L",Leistungsdaten!C68,""))*$B$237</f>
        <v>9.876049967070335</v>
      </c>
      <c r="L68" s="1">
        <f t="shared" si="1"/>
        <v>-2.2666857213090852</v>
      </c>
    </row>
    <row r="69" spans="1:12" x14ac:dyDescent="0.25">
      <c r="A69">
        <v>-11.150983034830301</v>
      </c>
      <c r="B69">
        <v>7.6505195584430696</v>
      </c>
      <c r="C69">
        <f>IF(A69&lt;'Planungstool Heizlast'!$B$9,'Planungstool Heizlast'!$B$22,IF(A69&gt;15,'Planungstool Heizlast'!$B$21,'Planungstool Heizlast'!$B$20/(15-'Planungstool Heizlast'!$B$9)*(15-Leistungsdaten!A69)+'Planungstool Heizlast'!$B$21))</f>
        <v>8.9132015265397175</v>
      </c>
      <c r="E69">
        <v>-7.4588337073696902</v>
      </c>
      <c r="F69">
        <v>12.8094231118721</v>
      </c>
      <c r="G69">
        <f>IF(E69&lt;'Planungstool Heizlast'!$B$9,'Planungstool Heizlast'!$B$22,IF(E69&gt;15,'Planungstool Heizlast'!$B$21,'Planungstool Heizlast'!$B$20/(15-'Planungstool Heizlast'!$B$9)*(15-Leistungsdaten!E69)+'Planungstool Heizlast'!$B$21))</f>
        <v>7.8080359593437541</v>
      </c>
      <c r="I69" s="1">
        <f>IF('Planungstool Heizlast'!$B$4="EU13L",Leistungsdaten!E69,IF('Planungstool Heizlast'!$B$4="EU08L",A69,""))</f>
        <v>-11.150983034830301</v>
      </c>
      <c r="J69" s="1">
        <f>IF(OR('Planungstool Heizlast'!$B$10="Fußbodenheizung 35°C",'Planungstool Heizlast'!$B$10="Niedertemperaturheizkörper 45°C"),IF('Planungstool Heizlast'!$B$4="EU13L",Leistungsdaten!F69,IF('Planungstool Heizlast'!$B$4="EU08L",Leistungsdaten!B69,"")),IF('Planungstool Heizlast'!$B$4="EU13L",Leistungsdaten!F69,IF('Planungstool Heizlast'!$B$4="EU08L",Leistungsdaten!B69,""))*0.9)*'Planungstool Heizlast'!$B$5</f>
        <v>7.6505195584430696</v>
      </c>
      <c r="K69" s="1">
        <f>IF('Planungstool Heizlast'!$B$4="EU13L",Leistungsdaten!G69,IF('Planungstool Heizlast'!$B$4="EU08L",Leistungsdaten!C69,""))*$B$237</f>
        <v>9.8045216791936909</v>
      </c>
      <c r="L69" s="1">
        <f t="shared" si="1"/>
        <v>-2.1540021207506213</v>
      </c>
    </row>
    <row r="70" spans="1:12" x14ac:dyDescent="0.25">
      <c r="A70">
        <v>-10.933620129287601</v>
      </c>
      <c r="B70">
        <v>7.6917221257685897</v>
      </c>
      <c r="C70">
        <f>IF(A70&lt;'Planungstool Heizlast'!$B$9,'Planungstool Heizlast'!$B$22,IF(A70&gt;15,'Planungstool Heizlast'!$B$21,'Planungstool Heizlast'!$B$20/(15-'Planungstool Heizlast'!$B$9)*(15-Leistungsdaten!A70)+'Planungstool Heizlast'!$B$21))</f>
        <v>8.8481386112874034</v>
      </c>
      <c r="E70">
        <v>-7.21805787211966</v>
      </c>
      <c r="F70">
        <v>12.855148959320699</v>
      </c>
      <c r="G70">
        <f>IF(E70&lt;'Planungstool Heizlast'!$B$9,'Planungstool Heizlast'!$B$22,IF(E70&gt;15,'Planungstool Heizlast'!$B$21,'Planungstool Heizlast'!$B$20/(15-'Planungstool Heizlast'!$B$9)*(15-Leistungsdaten!E70)+'Planungstool Heizlast'!$B$21))</f>
        <v>7.7359648866620319</v>
      </c>
      <c r="I70" s="1">
        <f>IF('Planungstool Heizlast'!$B$4="EU13L",Leistungsdaten!E70,IF('Planungstool Heizlast'!$B$4="EU08L",A70,""))</f>
        <v>-10.933620129287601</v>
      </c>
      <c r="J70" s="1">
        <f>IF(OR('Planungstool Heizlast'!$B$10="Fußbodenheizung 35°C",'Planungstool Heizlast'!$B$10="Niedertemperaturheizkörper 45°C"),IF('Planungstool Heizlast'!$B$4="EU13L",Leistungsdaten!F70,IF('Planungstool Heizlast'!$B$4="EU08L",Leistungsdaten!B70,"")),IF('Planungstool Heizlast'!$B$4="EU13L",Leistungsdaten!F70,IF('Planungstool Heizlast'!$B$4="EU08L",Leistungsdaten!B70,""))*0.9)*'Planungstool Heizlast'!$B$5</f>
        <v>7.6917221257685897</v>
      </c>
      <c r="K70" s="1">
        <f>IF('Planungstool Heizlast'!$B$4="EU13L",Leistungsdaten!G70,IF('Planungstool Heizlast'!$B$4="EU08L",Leistungsdaten!C70,""))*$B$237</f>
        <v>9.7329524724161445</v>
      </c>
      <c r="L70" s="1">
        <f t="shared" si="1"/>
        <v>-2.0412303466475548</v>
      </c>
    </row>
    <row r="71" spans="1:12" x14ac:dyDescent="0.25">
      <c r="A71">
        <v>-10.716133840060801</v>
      </c>
      <c r="B71">
        <v>7.7329668898513502</v>
      </c>
      <c r="C71">
        <f>IF(A71&lt;'Planungstool Heizlast'!$B$9,'Planungstool Heizlast'!$B$22,IF(A71&gt;15,'Planungstool Heizlast'!$B$21,'Planungstool Heizlast'!$B$20/(15-'Planungstool Heizlast'!$B$9)*(15-Leistungsdaten!A71)+'Planungstool Heizlast'!$B$21))</f>
        <v>8.7830387637804215</v>
      </c>
      <c r="E71">
        <v>-6.97718708825579</v>
      </c>
      <c r="F71">
        <v>12.9003550081011</v>
      </c>
      <c r="G71">
        <f>IF(E71&lt;'Planungstool Heizlast'!$B$9,'Planungstool Heizlast'!$B$22,IF(E71&gt;15,'Planungstool Heizlast'!$B$21,'Planungstool Heizlast'!$B$20/(15-'Planungstool Heizlast'!$B$9)*(15-Leistungsdaten!E71)+'Planungstool Heizlast'!$B$21))</f>
        <v>7.6638653931529381</v>
      </c>
      <c r="I71" s="1">
        <f>IF('Planungstool Heizlast'!$B$4="EU13L",Leistungsdaten!E71,IF('Planungstool Heizlast'!$B$4="EU08L",A71,""))</f>
        <v>-10.716133840060801</v>
      </c>
      <c r="J71" s="1">
        <f>IF(OR('Planungstool Heizlast'!$B$10="Fußbodenheizung 35°C",'Planungstool Heizlast'!$B$10="Niedertemperaturheizkörper 45°C"),IF('Planungstool Heizlast'!$B$4="EU13L",Leistungsdaten!F71,IF('Planungstool Heizlast'!$B$4="EU08L",Leistungsdaten!B71,"")),IF('Planungstool Heizlast'!$B$4="EU13L",Leistungsdaten!F71,IF('Planungstool Heizlast'!$B$4="EU08L",Leistungsdaten!B71,""))*0.9)*'Planungstool Heizlast'!$B$5</f>
        <v>7.7329668898513502</v>
      </c>
      <c r="K71" s="1">
        <f>IF('Planungstool Heizlast'!$B$4="EU13L",Leistungsdaten!G71,IF('Planungstool Heizlast'!$B$4="EU08L",Leistungsdaten!C71,""))*$B$237</f>
        <v>9.6613426401584643</v>
      </c>
      <c r="L71" s="1">
        <f t="shared" si="1"/>
        <v>-1.9283757503071142</v>
      </c>
    </row>
    <row r="72" spans="1:12" x14ac:dyDescent="0.25">
      <c r="A72">
        <v>-10.498525066078001</v>
      </c>
      <c r="B72">
        <v>7.7742487232303201</v>
      </c>
      <c r="C72">
        <f>IF(A72&lt;'Planungstool Heizlast'!$B$9,'Planungstool Heizlast'!$B$22,IF(A72&gt;15,'Planungstool Heizlast'!$B$21,'Planungstool Heizlast'!$B$20/(15-'Planungstool Heizlast'!$B$9)*(15-Leistungsdaten!A72)+'Planungstool Heizlast'!$B$21))</f>
        <v>8.717902253093591</v>
      </c>
      <c r="E72">
        <v>-6.7362225134260303</v>
      </c>
      <c r="F72">
        <v>12.945023069668</v>
      </c>
      <c r="G72">
        <f>IF(E72&lt;'Planungstool Heizlast'!$B$9,'Planungstool Heizlast'!$B$22,IF(E72&gt;15,'Planungstool Heizlast'!$B$21,'Planungstool Heizlast'!$B$20/(15-'Planungstool Heizlast'!$B$9)*(15-Leistungsdaten!E72)+'Planungstool Heizlast'!$B$21))</f>
        <v>7.5917378253335119</v>
      </c>
      <c r="I72" s="1">
        <f>IF('Planungstool Heizlast'!$B$4="EU13L",Leistungsdaten!E72,IF('Planungstool Heizlast'!$B$4="EU08L",A72,""))</f>
        <v>-10.498525066078001</v>
      </c>
      <c r="J72" s="1">
        <f>IF(OR('Planungstool Heizlast'!$B$10="Fußbodenheizung 35°C",'Planungstool Heizlast'!$B$10="Niedertemperaturheizkörper 45°C"),IF('Planungstool Heizlast'!$B$4="EU13L",Leistungsdaten!F72,IF('Planungstool Heizlast'!$B$4="EU08L",Leistungsdaten!B72,"")),IF('Planungstool Heizlast'!$B$4="EU13L",Leistungsdaten!F72,IF('Planungstool Heizlast'!$B$4="EU08L",Leistungsdaten!B72,""))*0.9)*'Planungstool Heizlast'!$B$5</f>
        <v>7.7742487232303201</v>
      </c>
      <c r="K72" s="1">
        <f>IF('Planungstool Heizlast'!$B$4="EU13L",Leistungsdaten!G72,IF('Planungstool Heizlast'!$B$4="EU08L",Leistungsdaten!C72,""))*$B$237</f>
        <v>9.5896924784029505</v>
      </c>
      <c r="L72" s="1">
        <f t="shared" si="1"/>
        <v>-1.8154437551726303</v>
      </c>
    </row>
    <row r="73" spans="1:12" x14ac:dyDescent="0.25">
      <c r="A73">
        <v>-10.280794713787101</v>
      </c>
      <c r="B73">
        <v>7.8155624277060296</v>
      </c>
      <c r="C73">
        <f>IF(A73&lt;'Planungstool Heizlast'!$B$9,'Planungstool Heizlast'!$B$22,IF(A73&gt;15,'Planungstool Heizlast'!$B$21,'Planungstool Heizlast'!$B$20/(15-'Planungstool Heizlast'!$B$9)*(15-Leistungsdaten!A73)+'Planungstool Heizlast'!$B$21))</f>
        <v>8.6527293505526082</v>
      </c>
      <c r="E73">
        <v>-6.4951653113779999</v>
      </c>
      <c r="F73">
        <v>12.989134554859699</v>
      </c>
      <c r="G73">
        <f>IF(E73&lt;'Planungstool Heizlast'!$B$9,'Planungstool Heizlast'!$B$22,IF(E73&gt;15,'Planungstool Heizlast'!$B$21,'Planungstool Heizlast'!$B$20/(15-'Planungstool Heizlast'!$B$9)*(15-Leistungsdaten!E73)+'Planungstool Heizlast'!$B$21))</f>
        <v>7.5195825315465958</v>
      </c>
      <c r="I73" s="1">
        <f>IF('Planungstool Heizlast'!$B$4="EU13L",Leistungsdaten!E73,IF('Planungstool Heizlast'!$B$4="EU08L",A73,""))</f>
        <v>-10.280794713787101</v>
      </c>
      <c r="J73" s="1">
        <f>IF(OR('Planungstool Heizlast'!$B$10="Fußbodenheizung 35°C",'Planungstool Heizlast'!$B$10="Niedertemperaturheizkörper 45°C"),IF('Planungstool Heizlast'!$B$4="EU13L",Leistungsdaten!F73,IF('Planungstool Heizlast'!$B$4="EU08L",Leistungsdaten!B73,"")),IF('Planungstool Heizlast'!$B$4="EU13L",Leistungsdaten!F73,IF('Planungstool Heizlast'!$B$4="EU08L",Leistungsdaten!B73,""))*0.9)*'Planungstool Heizlast'!$B$5</f>
        <v>7.8155624277060296</v>
      </c>
      <c r="K73" s="1">
        <f>IF('Planungstool Heizlast'!$B$4="EU13L",Leistungsdaten!G73,IF('Planungstool Heizlast'!$B$4="EU08L",Leistungsdaten!C73,""))*$B$237</f>
        <v>9.518002285607869</v>
      </c>
      <c r="L73" s="1">
        <f t="shared" si="1"/>
        <v>-1.7024398579018394</v>
      </c>
    </row>
    <row r="74" spans="1:12" x14ac:dyDescent="0.25">
      <c r="A74">
        <v>-10.062943696905799</v>
      </c>
      <c r="B74">
        <v>7.85690273315707</v>
      </c>
      <c r="C74">
        <f>IF(A74&lt;'Planungstool Heizlast'!$B$9,'Planungstool Heizlast'!$B$22,IF(A74&gt;15,'Planungstool Heizlast'!$B$21,'Planungstool Heizlast'!$B$20/(15-'Planungstool Heizlast'!$B$9)*(15-Leistungsdaten!A74)+'Planungstool Heizlast'!$B$21))</f>
        <v>8.5875203296592311</v>
      </c>
      <c r="E74">
        <v>-6.2540166519590299</v>
      </c>
      <c r="F74">
        <v>13.0326704653665</v>
      </c>
      <c r="G74">
        <f>IF(E74&lt;'Planungstool Heizlast'!$B$9,'Planungstool Heizlast'!$B$22,IF(E74&gt;15,'Planungstool Heizlast'!$B$21,'Planungstool Heizlast'!$B$20/(15-'Planungstool Heizlast'!$B$9)*(15-Leistungsdaten!E74)+'Planungstool Heizlast'!$B$21))</f>
        <v>7.4473998619608537</v>
      </c>
      <c r="I74" s="1">
        <f>IF('Planungstool Heizlast'!$B$4="EU13L",Leistungsdaten!E74,IF('Planungstool Heizlast'!$B$4="EU08L",A74,""))</f>
        <v>-10.062943696905799</v>
      </c>
      <c r="J74" s="1">
        <f>IF(OR('Planungstool Heizlast'!$B$10="Fußbodenheizung 35°C",'Planungstool Heizlast'!$B$10="Niedertemperaturheizkörper 45°C"),IF('Planungstool Heizlast'!$B$4="EU13L",Leistungsdaten!F74,IF('Planungstool Heizlast'!$B$4="EU08L",Leistungsdaten!B74,"")),IF('Planungstool Heizlast'!$B$4="EU13L",Leistungsdaten!F74,IF('Planungstool Heizlast'!$B$4="EU08L",Leistungsdaten!B74,""))*0.9)*'Planungstool Heizlast'!$B$5</f>
        <v>7.85690273315707</v>
      </c>
      <c r="K74" s="1">
        <f>IF('Planungstool Heizlast'!$B$4="EU13L",Leistungsdaten!G74,IF('Planungstool Heizlast'!$B$4="EU08L",Leistungsdaten!C74,""))*$B$237</f>
        <v>9.4462723626251552</v>
      </c>
      <c r="L74" s="1">
        <f t="shared" si="1"/>
        <v>-1.5893696294680852</v>
      </c>
    </row>
    <row r="75" spans="1:12" x14ac:dyDescent="0.25">
      <c r="A75">
        <v>-9.8449729361791807</v>
      </c>
      <c r="B75">
        <v>7.8982642963365901</v>
      </c>
      <c r="C75">
        <f>IF(A75&lt;'Planungstool Heizlast'!$B$9,'Planungstool Heizlast'!$B$22,IF(A75&gt;15,'Planungstool Heizlast'!$B$21,'Planungstool Heizlast'!$B$20/(15-'Planungstool Heizlast'!$B$9)*(15-Leistungsdaten!A75)+'Planungstool Heizlast'!$B$21))</f>
        <v>8.5222754660187228</v>
      </c>
      <c r="E75">
        <v>-6.0127777111160796</v>
      </c>
      <c r="F75">
        <v>13.0756113850343</v>
      </c>
      <c r="G75">
        <f>IF(E75&lt;'Planungstool Heizlast'!$B$9,'Planungstool Heizlast'!$B$22,IF(E75&gt;15,'Planungstool Heizlast'!$B$21,'Planungstool Heizlast'!$B$20/(15-'Planungstool Heizlast'!$B$9)*(15-Leistungsdaten!E75)+'Planungstool Heizlast'!$B$21))</f>
        <v>7.3751901685707377</v>
      </c>
      <c r="I75" s="1">
        <f>IF('Planungstool Heizlast'!$B$4="EU13L",Leistungsdaten!E75,IF('Planungstool Heizlast'!$B$4="EU08L",A75,""))</f>
        <v>-9.8449729361791807</v>
      </c>
      <c r="J75" s="1">
        <f>IF(OR('Planungstool Heizlast'!$B$10="Fußbodenheizung 35°C",'Planungstool Heizlast'!$B$10="Niedertemperaturheizkörper 45°C"),IF('Planungstool Heizlast'!$B$4="EU13L",Leistungsdaten!F75,IF('Planungstool Heizlast'!$B$4="EU08L",Leistungsdaten!B75,"")),IF('Planungstool Heizlast'!$B$4="EU13L",Leistungsdaten!F75,IF('Planungstool Heizlast'!$B$4="EU08L",Leistungsdaten!B75,""))*0.9)*'Planungstool Heizlast'!$B$5</f>
        <v>7.8982642963365901</v>
      </c>
      <c r="K75" s="1">
        <f>IF('Planungstool Heizlast'!$B$4="EU13L",Leistungsdaten!G75,IF('Planungstool Heizlast'!$B$4="EU08L",Leistungsdaten!C75,""))*$B$237</f>
        <v>9.374503012620595</v>
      </c>
      <c r="L75" s="1">
        <f t="shared" si="1"/>
        <v>-1.4762387162840049</v>
      </c>
    </row>
    <row r="76" spans="1:12" x14ac:dyDescent="0.25">
      <c r="A76">
        <v>-9.6268833591470209</v>
      </c>
      <c r="B76">
        <v>7.9396416996485604</v>
      </c>
      <c r="C76">
        <f>IF(A76&lt;'Planungstool Heizlast'!$B$9,'Planungstool Heizlast'!$B$22,IF(A76&gt;15,'Planungstool Heizlast'!$B$21,'Planungstool Heizlast'!$B$20/(15-'Planungstool Heizlast'!$B$9)*(15-Leistungsdaten!A76)+'Planungstool Heizlast'!$B$21))</f>
        <v>8.456995037270179</v>
      </c>
      <c r="E76">
        <v>-5.7714496708958301</v>
      </c>
      <c r="F76">
        <v>13.117937471003501</v>
      </c>
      <c r="G76">
        <f>IF(E76&lt;'Planungstool Heizlast'!$B$9,'Planungstool Heizlast'!$B$22,IF(E76&gt;15,'Planungstool Heizlast'!$B$21,'Planungstool Heizlast'!$B$20/(15-'Planungstool Heizlast'!$B$9)*(15-Leistungsdaten!E76)+'Planungstool Heizlast'!$B$21))</f>
        <v>7.3029538051965242</v>
      </c>
      <c r="I76" s="1">
        <f>IF('Planungstool Heizlast'!$B$4="EU13L",Leistungsdaten!E76,IF('Planungstool Heizlast'!$B$4="EU08L",A76,""))</f>
        <v>-9.6268833591470209</v>
      </c>
      <c r="J76" s="1">
        <f>IF(OR('Planungstool Heizlast'!$B$10="Fußbodenheizung 35°C",'Planungstool Heizlast'!$B$10="Niedertemperaturheizkörper 45°C"),IF('Planungstool Heizlast'!$B$4="EU13L",Leistungsdaten!F76,IF('Planungstool Heizlast'!$B$4="EU08L",Leistungsdaten!B76,"")),IF('Planungstool Heizlast'!$B$4="EU13L",Leistungsdaten!F76,IF('Planungstool Heizlast'!$B$4="EU08L",Leistungsdaten!B76,""))*0.9)*'Planungstool Heizlast'!$B$5</f>
        <v>7.9396416996485604</v>
      </c>
      <c r="K76" s="1">
        <f>IF('Planungstool Heizlast'!$B$4="EU13L",Leistungsdaten!G76,IF('Planungstool Heizlast'!$B$4="EU08L",Leistungsdaten!C76,""))*$B$237</f>
        <v>9.3026945409971979</v>
      </c>
      <c r="L76" s="1">
        <f t="shared" si="1"/>
        <v>-1.3630528413486376</v>
      </c>
    </row>
    <row r="77" spans="1:12" x14ac:dyDescent="0.25">
      <c r="A77">
        <v>-9.4086758999179505</v>
      </c>
      <c r="B77">
        <v>7.9810294499034198</v>
      </c>
      <c r="C77">
        <f>IF(A77&lt;'Planungstool Heizlast'!$B$9,'Planungstool Heizlast'!$B$22,IF(A77&gt;15,'Planungstool Heizlast'!$B$21,'Planungstool Heizlast'!$B$20/(15-'Planungstool Heizlast'!$B$9)*(15-Leistungsdaten!A77)+'Planungstool Heizlast'!$B$21))</f>
        <v>8.3916793230189484</v>
      </c>
      <c r="E77">
        <v>-5.5300337194446003</v>
      </c>
      <c r="F77">
        <v>13.1596284446781</v>
      </c>
      <c r="G77">
        <f>IF(E77&lt;'Planungstool Heizlast'!$B$9,'Planungstool Heizlast'!$B$22,IF(E77&gt;15,'Planungstool Heizlast'!$B$21,'Planungstool Heizlast'!$B$20/(15-'Planungstool Heizlast'!$B$9)*(15-Leistungsdaten!E77)+'Planungstool Heizlast'!$B$21))</f>
        <v>7.2306911274842838</v>
      </c>
      <c r="I77" s="1">
        <f>IF('Planungstool Heizlast'!$B$4="EU13L",Leistungsdaten!E77,IF('Planungstool Heizlast'!$B$4="EU08L",A77,""))</f>
        <v>-9.4086758999179505</v>
      </c>
      <c r="J77" s="1">
        <f>IF(OR('Planungstool Heizlast'!$B$10="Fußbodenheizung 35°C",'Planungstool Heizlast'!$B$10="Niedertemperaturheizkörper 45°C"),IF('Planungstool Heizlast'!$B$4="EU13L",Leistungsdaten!F77,IF('Planungstool Heizlast'!$B$4="EU08L",Leistungsdaten!B77,"")),IF('Planungstool Heizlast'!$B$4="EU13L",Leistungsdaten!F77,IF('Planungstool Heizlast'!$B$4="EU08L",Leistungsdaten!B77,""))*0.9)*'Planungstool Heizlast'!$B$5</f>
        <v>7.9810294499034198</v>
      </c>
      <c r="K77" s="1">
        <f>IF('Planungstool Heizlast'!$B$4="EU13L",Leistungsdaten!G77,IF('Planungstool Heizlast'!$B$4="EU08L",Leistungsdaten!C77,""))*$B$237</f>
        <v>9.2308472553208443</v>
      </c>
      <c r="L77" s="1">
        <f t="shared" si="1"/>
        <v>-1.2498178054174245</v>
      </c>
    </row>
    <row r="78" spans="1:12" x14ac:dyDescent="0.25">
      <c r="A78">
        <v>-9.1903514989525892</v>
      </c>
      <c r="B78">
        <v>8.0224219770530496</v>
      </c>
      <c r="C78">
        <f>IF(A78&lt;'Planungstool Heizlast'!$B$9,'Planungstool Heizlast'!$B$22,IF(A78&gt;15,'Planungstool Heizlast'!$B$21,'Planungstool Heizlast'!$B$20/(15-'Planungstool Heizlast'!$B$9)*(15-Leistungsdaten!A78)+'Planungstool Heizlast'!$B$21))</f>
        <v>8.3263286047717102</v>
      </c>
      <c r="E78">
        <v>-5.2885310510084098</v>
      </c>
      <c r="F78">
        <v>13.2006635825253</v>
      </c>
      <c r="G78">
        <f>IF(E78&lt;'Planungstool Heizlast'!$B$9,'Planungstool Heizlast'!$B$22,IF(E78&gt;15,'Planungstool Heizlast'!$B$21,'Planungstool Heizlast'!$B$20/(15-'Planungstool Heizlast'!$B$9)*(15-Leistungsdaten!E78)+'Planungstool Heizlast'!$B$21))</f>
        <v>7.1584024929059007</v>
      </c>
      <c r="I78" s="1">
        <f>IF('Planungstool Heizlast'!$B$4="EU13L",Leistungsdaten!E78,IF('Planungstool Heizlast'!$B$4="EU08L",A78,""))</f>
        <v>-9.1903514989525892</v>
      </c>
      <c r="J78" s="1">
        <f>IF(OR('Planungstool Heizlast'!$B$10="Fußbodenheizung 35°C",'Planungstool Heizlast'!$B$10="Niedertemperaturheizkörper 45°C"),IF('Planungstool Heizlast'!$B$4="EU13L",Leistungsdaten!F78,IF('Planungstool Heizlast'!$B$4="EU08L",Leistungsdaten!B78,"")),IF('Planungstool Heizlast'!$B$4="EU13L",Leistungsdaten!F78,IF('Planungstool Heizlast'!$B$4="EU08L",Leistungsdaten!B78,""))*0.9)*'Planungstool Heizlast'!$B$5</f>
        <v>8.0224219770530496</v>
      </c>
      <c r="K78" s="1">
        <f>IF('Planungstool Heizlast'!$B$4="EU13L",Leistungsdaten!G78,IF('Planungstool Heizlast'!$B$4="EU08L",Leistungsdaten!C78,""))*$B$237</f>
        <v>9.1589614652488827</v>
      </c>
      <c r="L78" s="1">
        <f t="shared" si="1"/>
        <v>-1.1365394881958331</v>
      </c>
    </row>
    <row r="79" spans="1:12" x14ac:dyDescent="0.25">
      <c r="A79">
        <v>-8.9719111028542606</v>
      </c>
      <c r="B79">
        <v>8.0638136329045</v>
      </c>
      <c r="C79">
        <f>IF(A79&lt;'Planungstool Heizlast'!$B$9,'Planungstool Heizlast'!$B$22,IF(A79&gt;15,'Planungstool Heizlast'!$B$21,'Planungstool Heizlast'!$B$20/(15-'Planungstool Heizlast'!$B$9)*(15-Leistungsdaten!A79)+'Planungstool Heizlast'!$B$21))</f>
        <v>8.260943165873833</v>
      </c>
      <c r="E79">
        <v>-5.0469428659329303</v>
      </c>
      <c r="F79">
        <v>13.241021706700399</v>
      </c>
      <c r="G79">
        <f>IF(E79&lt;'Planungstool Heizlast'!$B$9,'Planungstool Heizlast'!$B$22,IF(E79&gt;15,'Planungstool Heizlast'!$B$21,'Planungstool Heizlast'!$B$20/(15-'Planungstool Heizlast'!$B$9)*(15-Leistungsdaten!E79)+'Planungstool Heizlast'!$B$21))</f>
        <v>7.0860882607590607</v>
      </c>
      <c r="I79" s="1">
        <f>IF('Planungstool Heizlast'!$B$4="EU13L",Leistungsdaten!E79,IF('Planungstool Heizlast'!$B$4="EU08L",A79,""))</f>
        <v>-8.9719111028542606</v>
      </c>
      <c r="J79" s="1">
        <f>IF(OR('Planungstool Heizlast'!$B$10="Fußbodenheizung 35°C",'Planungstool Heizlast'!$B$10="Niedertemperaturheizkörper 45°C"),IF('Planungstool Heizlast'!$B$4="EU13L",Leistungsdaten!F79,IF('Planungstool Heizlast'!$B$4="EU08L",Leistungsdaten!B79,"")),IF('Planungstool Heizlast'!$B$4="EU13L",Leistungsdaten!F79,IF('Planungstool Heizlast'!$B$4="EU08L",Leistungsdaten!B79,""))*0.9)*'Planungstool Heizlast'!$B$5</f>
        <v>8.0638136329045</v>
      </c>
      <c r="K79" s="1">
        <f>IF('Planungstool Heizlast'!$B$4="EU13L",Leistungsdaten!G79,IF('Planungstool Heizlast'!$B$4="EU08L",Leistungsdaten!C79,""))*$B$237</f>
        <v>9.0870374824612163</v>
      </c>
      <c r="L79" s="1">
        <f t="shared" si="1"/>
        <v>-1.0232238495567163</v>
      </c>
    </row>
    <row r="80" spans="1:12" x14ac:dyDescent="0.25">
      <c r="A80">
        <v>-8.7533556641674402</v>
      </c>
      <c r="B80">
        <v>8.1051986898124309</v>
      </c>
      <c r="C80">
        <f>IF(A80&lt;'Planungstool Heizlast'!$B$9,'Planungstool Heizlast'!$B$22,IF(A80&gt;15,'Planungstool Heizlast'!$B$21,'Planungstool Heizlast'!$B$20/(15-'Planungstool Heizlast'!$B$9)*(15-Leistungsdaten!A80)+'Planungstool Heizlast'!$B$21))</f>
        <v>8.1955232914490335</v>
      </c>
      <c r="E80">
        <v>-4.8052703706635302</v>
      </c>
      <c r="F80">
        <v>13.2806811754965</v>
      </c>
      <c r="G80">
        <f>IF(E80&lt;'Planungstool Heizlast'!$B$9,'Planungstool Heizlast'!$B$22,IF(E80&gt;15,'Planungstool Heizlast'!$B$21,'Planungstool Heizlast'!$B$20/(15-'Planungstool Heizlast'!$B$9)*(15-Leistungsdaten!E80)+'Planungstool Heizlast'!$B$21))</f>
        <v>7.0137487921672612</v>
      </c>
      <c r="I80" s="1">
        <f>IF('Planungstool Heizlast'!$B$4="EU13L",Leistungsdaten!E80,IF('Planungstool Heizlast'!$B$4="EU08L",A80,""))</f>
        <v>-8.7533556641674402</v>
      </c>
      <c r="J80" s="1">
        <f>IF(OR('Planungstool Heizlast'!$B$10="Fußbodenheizung 35°C",'Planungstool Heizlast'!$B$10="Niedertemperaturheizkörper 45°C"),IF('Planungstool Heizlast'!$B$4="EU13L",Leistungsdaten!F80,IF('Planungstool Heizlast'!$B$4="EU08L",Leistungsdaten!B80,"")),IF('Planungstool Heizlast'!$B$4="EU13L",Leistungsdaten!F80,IF('Planungstool Heizlast'!$B$4="EU08L",Leistungsdaten!B80,""))*0.9)*'Planungstool Heizlast'!$B$5</f>
        <v>8.1051986898124309</v>
      </c>
      <c r="K80" s="1">
        <f>IF('Planungstool Heizlast'!$B$4="EU13L",Leistungsdaten!G80,IF('Planungstool Heizlast'!$B$4="EU08L",Leistungsdaten!C80,""))*$B$237</f>
        <v>9.0150756205939384</v>
      </c>
      <c r="L80" s="1">
        <f t="shared" si="1"/>
        <v>-0.90987693078150755</v>
      </c>
    </row>
    <row r="81" spans="1:12" x14ac:dyDescent="0.25">
      <c r="A81">
        <v>-8.5346861411838209</v>
      </c>
      <c r="B81">
        <v>8.1465713393498191</v>
      </c>
      <c r="C81">
        <f>IF(A81&lt;'Planungstool Heizlast'!$B$9,'Planungstool Heizlast'!$B$22,IF(A81&gt;15,'Planungstool Heizlast'!$B$21,'Planungstool Heizlast'!$B$20/(15-'Planungstool Heizlast'!$B$9)*(15-Leistungsdaten!A81)+'Planungstool Heizlast'!$B$21))</f>
        <v>8.1300692683413391</v>
      </c>
      <c r="E81">
        <v>-4.5635147777452296</v>
      </c>
      <c r="F81">
        <v>13.319619873614799</v>
      </c>
      <c r="G81">
        <f>IF(E81&lt;'Planungstool Heizlast'!$B$9,'Planungstool Heizlast'!$B$22,IF(E81&gt;15,'Planungstool Heizlast'!$B$21,'Planungstool Heizlast'!$B$20/(15-'Planungstool Heizlast'!$B$9)*(15-Leistungsdaten!E81)+'Planungstool Heizlast'!$B$21))</f>
        <v>6.9413844500798003</v>
      </c>
      <c r="I81" s="1">
        <f>IF('Planungstool Heizlast'!$B$4="EU13L",Leistungsdaten!E81,IF('Planungstool Heizlast'!$B$4="EU08L",A81,""))</f>
        <v>-8.5346861411838209</v>
      </c>
      <c r="J81" s="1">
        <f>IF(OR('Planungstool Heizlast'!$B$10="Fußbodenheizung 35°C",'Planungstool Heizlast'!$B$10="Niedertemperaturheizkörper 45°C"),IF('Planungstool Heizlast'!$B$4="EU13L",Leistungsdaten!F81,IF('Planungstool Heizlast'!$B$4="EU08L",Leistungsdaten!B81,"")),IF('Planungstool Heizlast'!$B$4="EU13L",Leistungsdaten!F81,IF('Planungstool Heizlast'!$B$4="EU08L",Leistungsdaten!B81,""))*0.9)*'Planungstool Heizlast'!$B$5</f>
        <v>8.1465713393498191</v>
      </c>
      <c r="K81" s="1">
        <f>IF('Planungstool Heizlast'!$B$4="EU13L",Leistungsdaten!G81,IF('Planungstool Heizlast'!$B$4="EU08L",Leistungsdaten!C81,""))*$B$237</f>
        <v>8.9430761951754736</v>
      </c>
      <c r="L81" s="1">
        <f t="shared" si="1"/>
        <v>-0.79650485582565445</v>
      </c>
    </row>
    <row r="82" spans="1:12" x14ac:dyDescent="0.25">
      <c r="A82">
        <v>-8.3159034977555599</v>
      </c>
      <c r="B82">
        <v>8.1879256909567193</v>
      </c>
      <c r="C82">
        <f>IF(A82&lt;'Planungstool Heizlast'!$B$9,'Planungstool Heizlast'!$B$22,IF(A82&gt;15,'Planungstool Heizlast'!$B$21,'Planungstool Heizlast'!$B$20/(15-'Planungstool Heizlast'!$B$9)*(15-Leistungsdaten!A82)+'Planungstool Heizlast'!$B$21))</f>
        <v>8.064581385059185</v>
      </c>
      <c r="E82">
        <v>-4.3216773058227398</v>
      </c>
      <c r="F82">
        <v>13.357815202255001</v>
      </c>
      <c r="G82">
        <f>IF(E82&lt;'Planungstool Heizlast'!$B$9,'Planungstool Heizlast'!$B$22,IF(E82&gt;15,'Planungstool Heizlast'!$B$21,'Planungstool Heizlast'!$B$20/(15-'Planungstool Heizlast'!$B$9)*(15-Leistungsdaten!E82)+'Planungstool Heizlast'!$B$21))</f>
        <v>6.8689955992717859</v>
      </c>
      <c r="I82" s="1">
        <f>IF('Planungstool Heizlast'!$B$4="EU13L",Leistungsdaten!E82,IF('Planungstool Heizlast'!$B$4="EU08L",A82,""))</f>
        <v>-8.3159034977555599</v>
      </c>
      <c r="J82" s="1">
        <f>IF(OR('Planungstool Heizlast'!$B$10="Fußbodenheizung 35°C",'Planungstool Heizlast'!$B$10="Niedertemperaturheizkörper 45°C"),IF('Planungstool Heizlast'!$B$4="EU13L",Leistungsdaten!F82,IF('Planungstool Heizlast'!$B$4="EU08L",Leistungsdaten!B82,"")),IF('Planungstool Heizlast'!$B$4="EU13L",Leistungsdaten!F82,IF('Planungstool Heizlast'!$B$4="EU08L",Leistungsdaten!B82,""))*0.9)*'Planungstool Heizlast'!$B$5</f>
        <v>8.1879256909567193</v>
      </c>
      <c r="K82" s="1">
        <f>IF('Planungstool Heizlast'!$B$4="EU13L",Leistungsdaten!G82,IF('Planungstool Heizlast'!$B$4="EU08L",Leistungsdaten!C82,""))*$B$237</f>
        <v>8.8710395235651038</v>
      </c>
      <c r="L82" s="1">
        <f t="shared" si="1"/>
        <v>-0.68311383260838454</v>
      </c>
    </row>
    <row r="83" spans="1:12" x14ac:dyDescent="0.25">
      <c r="A83">
        <v>-8.09700870311584</v>
      </c>
      <c r="B83">
        <v>8.2292557705667804</v>
      </c>
      <c r="C83">
        <f>IF(A83&lt;'Planungstool Heizlast'!$B$9,'Planungstool Heizlast'!$B$22,IF(A83&gt;15,'Planungstool Heizlast'!$B$21,'Planungstool Heizlast'!$B$20/(15-'Planungstool Heizlast'!$B$9)*(15-Leistungsdaten!A83)+'Planungstool Heizlast'!$B$21))</f>
        <v>7.9990599317216962</v>
      </c>
      <c r="E83">
        <v>-4.07975917964046</v>
      </c>
      <c r="F83">
        <v>13.3952440690208</v>
      </c>
      <c r="G83">
        <f>IF(E83&lt;'Planungstool Heizlast'!$B$9,'Planungstool Heizlast'!$B$22,IF(E83&gt;15,'Planungstool Heizlast'!$B$21,'Planungstool Heizlast'!$B$20/(15-'Planungstool Heizlast'!$B$9)*(15-Leistungsdaten!E83)+'Planungstool Heizlast'!$B$21))</f>
        <v>6.7965826063441392</v>
      </c>
      <c r="I83" s="1">
        <f>IF('Planungstool Heizlast'!$B$4="EU13L",Leistungsdaten!E83,IF('Planungstool Heizlast'!$B$4="EU08L",A83,""))</f>
        <v>-8.09700870311584</v>
      </c>
      <c r="J83" s="1">
        <f>IF(OR('Planungstool Heizlast'!$B$10="Fußbodenheizung 35°C",'Planungstool Heizlast'!$B$10="Niedertemperaturheizkörper 45°C"),IF('Planungstool Heizlast'!$B$4="EU13L",Leistungsdaten!F83,IF('Planungstool Heizlast'!$B$4="EU08L",Leistungsdaten!B83,"")),IF('Planungstool Heizlast'!$B$4="EU13L",Leistungsdaten!F83,IF('Planungstool Heizlast'!$B$4="EU08L",Leistungsdaten!B83,""))*0.9)*'Planungstool Heizlast'!$B$5</f>
        <v>8.2292557705667804</v>
      </c>
      <c r="K83" s="1">
        <f>IF('Planungstool Heizlast'!$B$4="EU13L",Leistungsdaten!G83,IF('Planungstool Heizlast'!$B$4="EU08L",Leistungsdaten!C83,""))*$B$237</f>
        <v>8.7989659248938672</v>
      </c>
      <c r="L83" s="1">
        <f t="shared" si="1"/>
        <v>-0.56971015432708683</v>
      </c>
    </row>
    <row r="84" spans="1:12" x14ac:dyDescent="0.25">
      <c r="A84">
        <v>-7.8780027317063501</v>
      </c>
      <c r="B84">
        <v>8.2705555192111699</v>
      </c>
      <c r="C84">
        <f>IF(A84&lt;'Planungstool Heizlast'!$B$9,'Planungstool Heizlast'!$B$22,IF(A84&gt;15,'Planungstool Heizlast'!$B$21,'Planungstool Heizlast'!$B$20/(15-'Planungstool Heizlast'!$B$9)*(15-Leistungsdaten!A84)+'Planungstool Heizlast'!$B$21))</f>
        <v>7.9335052000070547</v>
      </c>
      <c r="E84">
        <v>-3.8377616300424302</v>
      </c>
      <c r="F84">
        <v>13.431882877639801</v>
      </c>
      <c r="G84">
        <f>IF(E84&lt;'Planungstool Heizlast'!$B$9,'Planungstool Heizlast'!$B$22,IF(E84&gt;15,'Planungstool Heizlast'!$B$21,'Planungstool Heizlast'!$B$20/(15-'Planungstool Heizlast'!$B$9)*(15-Leistungsdaten!E84)+'Planungstool Heizlast'!$B$21))</f>
        <v>6.7241458397235734</v>
      </c>
      <c r="I84" s="1">
        <f>IF('Planungstool Heizlast'!$B$4="EU13L",Leistungsdaten!E84,IF('Planungstool Heizlast'!$B$4="EU08L",A84,""))</f>
        <v>-7.8780027317063501</v>
      </c>
      <c r="J84" s="1">
        <f>IF(OR('Planungstool Heizlast'!$B$10="Fußbodenheizung 35°C",'Planungstool Heizlast'!$B$10="Niedertemperaturheizkörper 45°C"),IF('Planungstool Heizlast'!$B$4="EU13L",Leistungsdaten!F84,IF('Planungstool Heizlast'!$B$4="EU08L",Leistungsdaten!B84,"")),IF('Planungstool Heizlast'!$B$4="EU13L",Leistungsdaten!F84,IF('Planungstool Heizlast'!$B$4="EU08L",Leistungsdaten!B84,""))*0.9)*'Planungstool Heizlast'!$B$5</f>
        <v>8.2705555192111699</v>
      </c>
      <c r="K84" s="1">
        <f>IF('Planungstool Heizlast'!$B$4="EU13L",Leistungsdaten!G84,IF('Planungstool Heizlast'!$B$4="EU08L",Leistungsdaten!C84,""))*$B$237</f>
        <v>8.7268557200077606</v>
      </c>
      <c r="L84" s="1">
        <f t="shared" si="1"/>
        <v>-0.45630020079659062</v>
      </c>
    </row>
    <row r="85" spans="1:12" x14ac:dyDescent="0.25">
      <c r="A85">
        <v>-7.6588865630115501</v>
      </c>
      <c r="B85">
        <v>8.3118187915997002</v>
      </c>
      <c r="C85">
        <f>IF(A85&lt;'Planungstool Heizlast'!$B$9,'Planungstool Heizlast'!$B$22,IF(A85&gt;15,'Planungstool Heizlast'!$B$21,'Planungstool Heizlast'!$B$20/(15-'Planungstool Heizlast'!$B$9)*(15-Leistungsdaten!A85)+'Planungstool Heizlast'!$B$21))</f>
        <v>7.8679174831028886</v>
      </c>
      <c r="E85">
        <v>-3.5956858939723801</v>
      </c>
      <c r="F85">
        <v>13.4677075174945</v>
      </c>
      <c r="G85">
        <f>IF(E85&lt;'Planungstool Heizlast'!$B$9,'Planungstool Heizlast'!$B$22,IF(E85&gt;15,'Planungstool Heizlast'!$B$21,'Planungstool Heizlast'!$B$20/(15-'Planungstool Heizlast'!$B$9)*(15-Leistungsdaten!E85)+'Planungstool Heizlast'!$B$21))</f>
        <v>6.6516856696626183</v>
      </c>
      <c r="I85" s="1">
        <f>IF('Planungstool Heizlast'!$B$4="EU13L",Leistungsdaten!E85,IF('Planungstool Heizlast'!$B$4="EU08L",A85,""))</f>
        <v>-7.6588865630115501</v>
      </c>
      <c r="J85" s="1">
        <f>IF(OR('Planungstool Heizlast'!$B$10="Fußbodenheizung 35°C",'Planungstool Heizlast'!$B$10="Niedertemperaturheizkörper 45°C"),IF('Planungstool Heizlast'!$B$4="EU13L",Leistungsdaten!F85,IF('Planungstool Heizlast'!$B$4="EU08L",Leistungsdaten!B85,"")),IF('Planungstool Heizlast'!$B$4="EU13L",Leistungsdaten!F85,IF('Planungstool Heizlast'!$B$4="EU08L",Leistungsdaten!B85,""))*0.9)*'Planungstool Heizlast'!$B$5</f>
        <v>8.3118187915997002</v>
      </c>
      <c r="K85" s="1">
        <f>IF('Planungstool Heizlast'!$B$4="EU13L",Leistungsdaten!G85,IF('Planungstool Heizlast'!$B$4="EU08L",Leistungsdaten!C85,""))*$B$237</f>
        <v>8.6547092314131788</v>
      </c>
      <c r="L85" s="1">
        <f t="shared" ref="L85:L148" si="2">J85-K85</f>
        <v>-0.34289043981347866</v>
      </c>
    </row>
    <row r="86" spans="1:12" x14ac:dyDescent="0.25">
      <c r="A86">
        <v>-7.4396611813995097</v>
      </c>
      <c r="B86">
        <v>8.3530393546787494</v>
      </c>
      <c r="C86">
        <f>IF(A86&lt;'Planungstool Heizlast'!$B$9,'Planungstool Heizlast'!$B$22,IF(A86&gt;15,'Planungstool Heizlast'!$B$21,'Planungstool Heizlast'!$B$20/(15-'Planungstool Heizlast'!$B$9)*(15-Leistungsdaten!A86)+'Planungstool Heizlast'!$B$21))</f>
        <v>7.8022970756586263</v>
      </c>
      <c r="E86">
        <v>-3.3535332144737202</v>
      </c>
      <c r="F86">
        <v>13.5026933529617</v>
      </c>
      <c r="G86">
        <f>IF(E86&lt;'Planungstool Heizlast'!$B$9,'Planungstool Heizlast'!$B$22,IF(E86&gt;15,'Planungstool Heizlast'!$B$21,'Planungstool Heizlast'!$B$20/(15-'Planungstool Heizlast'!$B$9)*(15-Leistungsdaten!E86)+'Planungstool Heizlast'!$B$21))</f>
        <v>6.5792024682396084</v>
      </c>
      <c r="I86" s="1">
        <f>IF('Planungstool Heizlast'!$B$4="EU13L",Leistungsdaten!E86,IF('Planungstool Heizlast'!$B$4="EU08L",A86,""))</f>
        <v>-7.4396611813995097</v>
      </c>
      <c r="J86" s="1">
        <f>IF(OR('Planungstool Heizlast'!$B$10="Fußbodenheizung 35°C",'Planungstool Heizlast'!$B$10="Niedertemperaturheizkörper 45°C"),IF('Planungstool Heizlast'!$B$4="EU13L",Leistungsdaten!F86,IF('Planungstool Heizlast'!$B$4="EU08L",Leistungsdaten!B86,"")),IF('Planungstool Heizlast'!$B$4="EU13L",Leistungsdaten!F86,IF('Planungstool Heizlast'!$B$4="EU08L",Leistungsdaten!B86,""))*0.9)*'Planungstool Heizlast'!$B$5</f>
        <v>8.3530393546787494</v>
      </c>
      <c r="K86" s="1">
        <f>IF('Planungstool Heizlast'!$B$4="EU13L",Leistungsdaten!G86,IF('Planungstool Heizlast'!$B$4="EU08L",Leistungsdaten!C86,""))*$B$237</f>
        <v>8.5825267832244894</v>
      </c>
      <c r="L86" s="1">
        <f t="shared" si="2"/>
        <v>-0.22948742854574</v>
      </c>
    </row>
    <row r="87" spans="1:12" x14ac:dyDescent="0.25">
      <c r="A87">
        <v>-7.2203275759693</v>
      </c>
      <c r="B87">
        <v>8.3942108861658298</v>
      </c>
      <c r="C87">
        <f>IF(A87&lt;'Planungstool Heizlast'!$B$9,'Planungstool Heizlast'!$B$22,IF(A87&gt;15,'Planungstool Heizlast'!$B$21,'Planungstool Heizlast'!$B$20/(15-'Planungstool Heizlast'!$B$9)*(15-Leistungsdaten!A87)+'Planungstool Heizlast'!$B$21))</f>
        <v>7.7366442737398238</v>
      </c>
      <c r="E87">
        <v>-3.1113048406895398</v>
      </c>
      <c r="F87">
        <v>13.536815212557901</v>
      </c>
      <c r="G87">
        <f>IF(E87&lt;'Planungstool Heizlast'!$B$9,'Planungstool Heizlast'!$B$22,IF(E87&gt;15,'Planungstool Heizlast'!$B$21,'Planungstool Heizlast'!$B$20/(15-'Planungstool Heizlast'!$B$9)*(15-Leistungsdaten!E87)+'Planungstool Heizlast'!$B$21))</f>
        <v>6.5066966093586869</v>
      </c>
      <c r="I87" s="1">
        <f>IF('Planungstool Heizlast'!$B$4="EU13L",Leistungsdaten!E87,IF('Planungstool Heizlast'!$B$4="EU08L",A87,""))</f>
        <v>-7.2203275759693</v>
      </c>
      <c r="J87" s="1">
        <f>IF(OR('Planungstool Heizlast'!$B$10="Fußbodenheizung 35°C",'Planungstool Heizlast'!$B$10="Niedertemperaturheizkörper 45°C"),IF('Planungstool Heizlast'!$B$4="EU13L",Leistungsdaten!F87,IF('Planungstool Heizlast'!$B$4="EU08L",Leistungsdaten!B87,"")),IF('Planungstool Heizlast'!$B$4="EU13L",Leistungsdaten!F87,IF('Planungstool Heizlast'!$B$4="EU08L",Leistungsdaten!B87,""))*0.9)*'Planungstool Heizlast'!$B$5</f>
        <v>8.3942108861658298</v>
      </c>
      <c r="K87" s="1">
        <f>IF('Planungstool Heizlast'!$B$4="EU13L",Leistungsdaten!G87,IF('Planungstool Heizlast'!$B$4="EU08L",Leistungsdaten!C87,""))*$B$237</f>
        <v>8.5103087011138072</v>
      </c>
      <c r="L87" s="1">
        <f t="shared" si="2"/>
        <v>-0.11609781494797744</v>
      </c>
    </row>
    <row r="88" spans="1:12" x14ac:dyDescent="0.25">
      <c r="A88">
        <v>-7.0008867404044999</v>
      </c>
      <c r="B88">
        <v>8.4353269730602403</v>
      </c>
      <c r="C88">
        <f>IF(A88&lt;'Planungstool Heizlast'!$B$9,'Planungstool Heizlast'!$B$22,IF(A88&gt;15,'Planungstool Heizlast'!$B$21,'Planungstool Heizlast'!$B$20/(15-'Planungstool Heizlast'!$B$9)*(15-Leistungsdaten!A88)+'Planungstool Heizlast'!$B$21))</f>
        <v>7.6709593747843074</v>
      </c>
      <c r="E88">
        <v>-2.8690020278625799</v>
      </c>
      <c r="F88">
        <v>13.5700473778878</v>
      </c>
      <c r="G88">
        <f>IF(E88&lt;'Planungstool Heizlast'!$B$9,'Planungstool Heizlast'!$B$22,IF(E88&gt;15,'Planungstool Heizlast'!$B$21,'Planungstool Heizlast'!$B$20/(15-'Planungstool Heizlast'!$B$9)*(15-Leistungsdaten!E88)+'Planungstool Heizlast'!$B$21))</f>
        <v>6.4341684687497951</v>
      </c>
      <c r="I88" s="1">
        <f>IF('Planungstool Heizlast'!$B$4="EU13L",Leistungsdaten!E88,IF('Planungstool Heizlast'!$B$4="EU08L",A88,""))</f>
        <v>-7.0008867404044999</v>
      </c>
      <c r="J88" s="1">
        <f>IF(OR('Planungstool Heizlast'!$B$10="Fußbodenheizung 35°C",'Planungstool Heizlast'!$B$10="Niedertemperaturheizkörper 45°C"),IF('Planungstool Heizlast'!$B$4="EU13L",Leistungsdaten!F88,IF('Planungstool Heizlast'!$B$4="EU08L",Leistungsdaten!B88,"")),IF('Planungstool Heizlast'!$B$4="EU13L",Leistungsdaten!F88,IF('Planungstool Heizlast'!$B$4="EU08L",Leistungsdaten!B88,""))*0.9)*'Planungstool Heizlast'!$B$5</f>
        <v>8.4353269730602403</v>
      </c>
      <c r="K88" s="1">
        <f>IF('Planungstool Heizlast'!$B$4="EU13L",Leistungsdaten!G88,IF('Planungstool Heizlast'!$B$4="EU08L",Leistungsdaten!C88,""))*$B$237</f>
        <v>8.4380553122627386</v>
      </c>
      <c r="L88" s="1">
        <f t="shared" si="2"/>
        <v>-2.7283392024983755E-3</v>
      </c>
    </row>
    <row r="89" spans="1:12" x14ac:dyDescent="0.25">
      <c r="A89">
        <v>-6.7813396728328099</v>
      </c>
      <c r="B89">
        <v>8.4763811101298803</v>
      </c>
      <c r="C89">
        <f>IF(A89&lt;'Planungstool Heizlast'!$B$9,'Planungstool Heizlast'!$B$22,IF(A89&gt;15,'Planungstool Heizlast'!$B$21,'Planungstool Heizlast'!$B$20/(15-'Planungstool Heizlast'!$B$9)*(15-Leistungsdaten!A89)+'Planungstool Heizlast'!$B$21))</f>
        <v>7.6052426775601578</v>
      </c>
      <c r="E89">
        <v>-2.6266260373353001</v>
      </c>
      <c r="F89">
        <v>13.6023635723939</v>
      </c>
      <c r="G89">
        <f>IF(E89&lt;'Planungstool Heizlast'!$B$9,'Planungstool Heizlast'!$B$22,IF(E89&gt;15,'Planungstool Heizlast'!$B$21,'Planungstool Heizlast'!$B$20/(15-'Planungstool Heizlast'!$B$9)*(15-Leistungsdaten!E89)+'Planungstool Heizlast'!$B$21))</f>
        <v>6.3616184239686984</v>
      </c>
      <c r="I89" s="1">
        <f>IF('Planungstool Heizlast'!$B$4="EU13L",Leistungsdaten!E89,IF('Planungstool Heizlast'!$B$4="EU08L",A89,""))</f>
        <v>-6.7813396728328099</v>
      </c>
      <c r="J89" s="1">
        <f>IF(OR('Planungstool Heizlast'!$B$10="Fußbodenheizung 35°C",'Planungstool Heizlast'!$B$10="Niedertemperaturheizkörper 45°C"),IF('Planungstool Heizlast'!$B$4="EU13L",Leistungsdaten!F89,IF('Planungstool Heizlast'!$B$4="EU08L",Leistungsdaten!B89,"")),IF('Planungstool Heizlast'!$B$4="EU13L",Leistungsdaten!F89,IF('Planungstool Heizlast'!$B$4="EU08L",Leistungsdaten!B89,""))*0.9)*'Planungstool Heizlast'!$B$5</f>
        <v>8.4763811101298803</v>
      </c>
      <c r="K89" s="1">
        <f>IF('Planungstool Heizlast'!$B$4="EU13L",Leistungsdaten!G89,IF('Planungstool Heizlast'!$B$4="EU08L",Leistungsdaten!C89,""))*$B$237</f>
        <v>8.3657669453161745</v>
      </c>
      <c r="L89" s="1">
        <f t="shared" si="2"/>
        <v>0.11061416481370578</v>
      </c>
    </row>
    <row r="90" spans="1:12" x14ac:dyDescent="0.25">
      <c r="A90">
        <v>-6.5616873756915997</v>
      </c>
      <c r="B90">
        <v>8.5173666983735501</v>
      </c>
      <c r="C90">
        <f>IF(A90&lt;'Planungstool Heizlast'!$B$9,'Planungstool Heizlast'!$B$22,IF(A90&gt;15,'Planungstool Heizlast'!$B$21,'Planungstool Heizlast'!$B$20/(15-'Planungstool Heizlast'!$B$9)*(15-Leistungsdaten!A90)+'Planungstool Heizlast'!$B$21))</f>
        <v>7.5394944821254608</v>
      </c>
      <c r="E90">
        <v>-2.3841781365497798</v>
      </c>
      <c r="F90">
        <v>13.633736949904</v>
      </c>
      <c r="G90">
        <f>IF(E90&lt;'Planungstool Heizlast'!$B$9,'Planungstool Heizlast'!$B$22,IF(E90&gt;15,'Planungstool Heizlast'!$B$21,'Planungstool Heizlast'!$B$20/(15-'Planungstool Heizlast'!$B$9)*(15-Leistungsdaten!E90)+'Planungstool Heizlast'!$B$21))</f>
        <v>6.2890468543969469</v>
      </c>
      <c r="I90" s="1">
        <f>IF('Planungstool Heizlast'!$B$4="EU13L",Leistungsdaten!E90,IF('Planungstool Heizlast'!$B$4="EU08L",A90,""))</f>
        <v>-6.5616873756915997</v>
      </c>
      <c r="J90" s="1">
        <f>IF(OR('Planungstool Heizlast'!$B$10="Fußbodenheizung 35°C",'Planungstool Heizlast'!$B$10="Niedertemperaturheizkörper 45°C"),IF('Planungstool Heizlast'!$B$4="EU13L",Leistungsdaten!F90,IF('Planungstool Heizlast'!$B$4="EU08L",Leistungsdaten!B90,"")),IF('Planungstool Heizlast'!$B$4="EU13L",Leistungsdaten!F90,IF('Planungstool Heizlast'!$B$4="EU08L",Leistungsdaten!B90,""))*0.9)*'Planungstool Heizlast'!$B$5</f>
        <v>8.5173666983735501</v>
      </c>
      <c r="K90" s="1">
        <f>IF('Planungstool Heizlast'!$B$4="EU13L",Leistungsdaten!G90,IF('Planungstool Heizlast'!$B$4="EU08L",Leistungsdaten!C90,""))*$B$237</f>
        <v>8.2934439303380074</v>
      </c>
      <c r="L90" s="1">
        <f t="shared" si="2"/>
        <v>0.22392276803554267</v>
      </c>
    </row>
    <row r="91" spans="1:12" x14ac:dyDescent="0.25">
      <c r="A91">
        <v>-6.3419308555991396</v>
      </c>
      <c r="B91">
        <v>8.5582770434587001</v>
      </c>
      <c r="C91">
        <f>IF(A91&lt;'Planungstool Heizlast'!$B$9,'Planungstool Heizlast'!$B$22,IF(A91&gt;15,'Planungstool Heizlast'!$B$21,'Planungstool Heizlast'!$B$20/(15-'Planungstool Heizlast'!$B$9)*(15-Leistungsdaten!A91)+'Planungstool Heizlast'!$B$21))</f>
        <v>7.4737150897897688</v>
      </c>
      <c r="E91">
        <v>-2.1416595990478098</v>
      </c>
      <c r="F91">
        <v>13.6641400829741</v>
      </c>
      <c r="G91">
        <f>IF(E91&lt;'Planungstool Heizlast'!$B$9,'Planungstool Heizlast'!$B$22,IF(E91&gt;15,'Planungstool Heizlast'!$B$21,'Planungstool Heizlast'!$B$20/(15-'Planungstool Heizlast'!$B$9)*(15-Leistungsdaten!E91)+'Planungstool Heizlast'!$B$21))</f>
        <v>6.216454141241913</v>
      </c>
      <c r="I91" s="1">
        <f>IF('Planungstool Heizlast'!$B$4="EU13L",Leistungsdaten!E91,IF('Planungstool Heizlast'!$B$4="EU08L",A91,""))</f>
        <v>-6.3419308555991396</v>
      </c>
      <c r="J91" s="1">
        <f>IF(OR('Planungstool Heizlast'!$B$10="Fußbodenheizung 35°C",'Planungstool Heizlast'!$B$10="Niedertemperaturheizkörper 45°C"),IF('Planungstool Heizlast'!$B$4="EU13L",Leistungsdaten!F91,IF('Planungstool Heizlast'!$B$4="EU08L",Leistungsdaten!B91,"")),IF('Planungstool Heizlast'!$B$4="EU13L",Leistungsdaten!F91,IF('Planungstool Heizlast'!$B$4="EU08L",Leistungsdaten!B91,""))*0.9)*'Planungstool Heizlast'!$B$5</f>
        <v>8.5582770434587001</v>
      </c>
      <c r="K91" s="1">
        <f>IF('Planungstool Heizlast'!$B$4="EU13L",Leistungsdaten!G91,IF('Planungstool Heizlast'!$B$4="EU08L",Leistungsdaten!C91,""))*$B$237</f>
        <v>8.2210865987687463</v>
      </c>
      <c r="L91" s="1">
        <f t="shared" si="2"/>
        <v>0.33719044468995385</v>
      </c>
    </row>
    <row r="92" spans="1:12" x14ac:dyDescent="0.25">
      <c r="A92">
        <v>-6.1220711232313398</v>
      </c>
      <c r="B92">
        <v>8.5991053541340801</v>
      </c>
      <c r="C92">
        <f>IF(A92&lt;'Planungstool Heizlast'!$B$9,'Planungstool Heizlast'!$B$22,IF(A92&gt;15,'Planungstool Heizlast'!$B$21,'Planungstool Heizlast'!$B$20/(15-'Planungstool Heizlast'!$B$9)*(15-Leistungsdaten!A92)+'Planungstool Heizlast'!$B$21))</f>
        <v>7.407904803077197</v>
      </c>
      <c r="E92">
        <v>-1.8990717044708401</v>
      </c>
      <c r="F92">
        <v>13.693544951023901</v>
      </c>
      <c r="G92">
        <f>IF(E92&lt;'Planungstool Heizlast'!$B$9,'Planungstool Heizlast'!$B$22,IF(E92&gt;15,'Planungstool Heizlast'!$B$21,'Planungstool Heizlast'!$B$20/(15-'Planungstool Heizlast'!$B$9)*(15-Leistungsdaten!E92)+'Planungstool Heizlast'!$B$21))</f>
        <v>6.1438406675367681</v>
      </c>
      <c r="I92" s="1">
        <f>IF('Planungstool Heizlast'!$B$4="EU13L",Leistungsdaten!E92,IF('Planungstool Heizlast'!$B$4="EU08L",A92,""))</f>
        <v>-6.1220711232313398</v>
      </c>
      <c r="J92" s="1">
        <f>IF(OR('Planungstool Heizlast'!$B$10="Fußbodenheizung 35°C",'Planungstool Heizlast'!$B$10="Niedertemperaturheizkörper 45°C"),IF('Planungstool Heizlast'!$B$4="EU13L",Leistungsdaten!F92,IF('Planungstool Heizlast'!$B$4="EU08L",Leistungsdaten!B92,"")),IF('Planungstool Heizlast'!$B$4="EU13L",Leistungsdaten!F92,IF('Planungstool Heizlast'!$B$4="EU08L",Leistungsdaten!B92,""))*0.9)*'Planungstool Heizlast'!$B$5</f>
        <v>8.5991053541340801</v>
      </c>
      <c r="K92" s="1">
        <f>IF('Planungstool Heizlast'!$B$4="EU13L",Leistungsdaten!G92,IF('Planungstool Heizlast'!$B$4="EU08L",Leistungsdaten!C92,""))*$B$237</f>
        <v>8.1486952833849173</v>
      </c>
      <c r="L92" s="1">
        <f t="shared" si="2"/>
        <v>0.45041007074916273</v>
      </c>
    </row>
    <row r="93" spans="1:12" x14ac:dyDescent="0.25">
      <c r="A93">
        <v>-5.9021091932039296</v>
      </c>
      <c r="B93">
        <v>8.6398447406172796</v>
      </c>
      <c r="C93">
        <f>IF(A93&lt;'Planungstool Heizlast'!$B$9,'Planungstool Heizlast'!$B$22,IF(A93&gt;15,'Planungstool Heizlast'!$B$21,'Planungstool Heizlast'!$B$20/(15-'Planungstool Heizlast'!$B$9)*(15-Leistungsdaten!A93)+'Planungstool Heizlast'!$B$21))</f>
        <v>7.3420639256911633</v>
      </c>
      <c r="E93">
        <v>-1.65641573856001</v>
      </c>
      <c r="F93">
        <v>13.7219229282629</v>
      </c>
      <c r="G93">
        <f>IF(E93&lt;'Planungstool Heizlast'!$B$9,'Planungstool Heizlast'!$B$22,IF(E93&gt;15,'Planungstool Heizlast'!$B$21,'Planungstool Heizlast'!$B$20/(15-'Planungstool Heizlast'!$B$9)*(15-Leistungsdaten!E93)+'Planungstool Heizlast'!$B$21))</f>
        <v>6.0712068181404941</v>
      </c>
      <c r="I93" s="1">
        <f>IF('Planungstool Heizlast'!$B$4="EU13L",Leistungsdaten!E93,IF('Planungstool Heizlast'!$B$4="EU08L",A93,""))</f>
        <v>-5.9021091932039296</v>
      </c>
      <c r="J93" s="1">
        <f>IF(OR('Planungstool Heizlast'!$B$10="Fußbodenheizung 35°C",'Planungstool Heizlast'!$B$10="Niedertemperaturheizkörper 45°C"),IF('Planungstool Heizlast'!$B$4="EU13L",Leistungsdaten!F93,IF('Planungstool Heizlast'!$B$4="EU08L",Leistungsdaten!B93,"")),IF('Planungstool Heizlast'!$B$4="EU13L",Leistungsdaten!F93,IF('Planungstool Heizlast'!$B$4="EU08L",Leistungsdaten!B93,""))*0.9)*'Planungstool Heizlast'!$B$5</f>
        <v>8.6398447406172796</v>
      </c>
      <c r="K93" s="1">
        <f>IF('Planungstool Heizlast'!$B$4="EU13L",Leistungsdaten!G93,IF('Planungstool Heizlast'!$B$4="EU08L",Leistungsdaten!C93,""))*$B$237</f>
        <v>8.0762703182602795</v>
      </c>
      <c r="L93" s="1">
        <f t="shared" si="2"/>
        <v>0.56357442235700006</v>
      </c>
    </row>
    <row r="94" spans="1:12" x14ac:dyDescent="0.25">
      <c r="A94">
        <v>-5.6820460839597802</v>
      </c>
      <c r="B94">
        <v>8.6804882129565595</v>
      </c>
      <c r="C94">
        <f>IF(A94&lt;'Planungstool Heizlast'!$B$9,'Planungstool Heizlast'!$B$22,IF(A94&gt;15,'Planungstool Heizlast'!$B$21,'Planungstool Heizlast'!$B$20/(15-'Planungstool Heizlast'!$B$9)*(15-Leistungsdaten!A94)+'Planungstool Heizlast'!$B$21))</f>
        <v>7.2761927624806573</v>
      </c>
      <c r="E94">
        <v>-1.41369299315612</v>
      </c>
      <c r="F94">
        <v>13.7492447714039</v>
      </c>
      <c r="G94">
        <f>IF(E94&lt;'Planungstool Heizlast'!$B$9,'Planungstool Heizlast'!$B$22,IF(E94&gt;15,'Planungstool Heizlast'!$B$21,'Planungstool Heizlast'!$B$20/(15-'Planungstool Heizlast'!$B$9)*(15-Leistungsdaten!E94)+'Planungstool Heizlast'!$B$21))</f>
        <v>5.9985529797378776</v>
      </c>
      <c r="I94" s="1">
        <f>IF('Planungstool Heizlast'!$B$4="EU13L",Leistungsdaten!E94,IF('Planungstool Heizlast'!$B$4="EU08L",A94,""))</f>
        <v>-5.6820460839597802</v>
      </c>
      <c r="J94" s="1">
        <f>IF(OR('Planungstool Heizlast'!$B$10="Fußbodenheizung 35°C",'Planungstool Heizlast'!$B$10="Niedertemperaturheizkörper 45°C"),IF('Planungstool Heizlast'!$B$4="EU13L",Leistungsdaten!F94,IF('Planungstool Heizlast'!$B$4="EU08L",Leistungsdaten!B94,"")),IF('Planungstool Heizlast'!$B$4="EU13L",Leistungsdaten!F94,IF('Planungstool Heizlast'!$B$4="EU08L",Leistungsdaten!B94,""))*0.9)*'Planungstool Heizlast'!$B$5</f>
        <v>8.6804882129565595</v>
      </c>
      <c r="K94" s="1">
        <f>IF('Planungstool Heizlast'!$B$4="EU13L",Leistungsdaten!G94,IF('Planungstool Heizlast'!$B$4="EU08L",Leistungsdaten!C94,""))*$B$237</f>
        <v>8.0038120387287233</v>
      </c>
      <c r="L94" s="1">
        <f t="shared" si="2"/>
        <v>0.67667617422783621</v>
      </c>
    </row>
    <row r="95" spans="1:12" x14ac:dyDescent="0.25">
      <c r="A95">
        <v>-5.4618828176612997</v>
      </c>
      <c r="B95">
        <v>8.7210286793668708</v>
      </c>
      <c r="C95">
        <f>IF(A95&lt;'Planungstool Heizlast'!$B$9,'Planungstool Heizlast'!$B$22,IF(A95&gt;15,'Planungstool Heizlast'!$B$21,'Planungstool Heizlast'!$B$20/(15-'Planungstool Heizlast'!$B$9)*(15-Leistungsdaten!A95)+'Planungstool Heizlast'!$B$21))</f>
        <v>7.2102916194080322</v>
      </c>
      <c r="E95">
        <v>-1.1709047661996499</v>
      </c>
      <c r="F95">
        <v>13.775480607161199</v>
      </c>
      <c r="G95">
        <f>IF(E95&lt;'Planungstool Heizlast'!$B$9,'Planungstool Heizlast'!$B$22,IF(E95&gt;15,'Planungstool Heizlast'!$B$21,'Planungstool Heizlast'!$B$20/(15-'Planungstool Heizlast'!$B$9)*(15-Leistungsdaten!E95)+'Planungstool Heizlast'!$B$21))</f>
        <v>5.9258795408395128</v>
      </c>
      <c r="I95" s="1">
        <f>IF('Planungstool Heizlast'!$B$4="EU13L",Leistungsdaten!E95,IF('Planungstool Heizlast'!$B$4="EU08L",A95,""))</f>
        <v>-5.4618828176612997</v>
      </c>
      <c r="J95" s="1">
        <f>IF(OR('Planungstool Heizlast'!$B$10="Fußbodenheizung 35°C",'Planungstool Heizlast'!$B$10="Niedertemperaturheizkörper 45°C"),IF('Planungstool Heizlast'!$B$4="EU13L",Leistungsdaten!F95,IF('Planungstool Heizlast'!$B$4="EU08L",Leistungsdaten!B95,"")),IF('Planungstool Heizlast'!$B$4="EU13L",Leistungsdaten!F95,IF('Planungstool Heizlast'!$B$4="EU08L",Leistungsdaten!B95,""))*0.9)*'Planungstool Heizlast'!$B$5</f>
        <v>8.7210286793668708</v>
      </c>
      <c r="K95" s="1">
        <f>IF('Planungstool Heizlast'!$B$4="EU13L",Leistungsdaten!G95,IF('Planungstool Heizlast'!$B$4="EU08L",Leistungsdaten!C95,""))*$B$237</f>
        <v>7.9313207813488358</v>
      </c>
      <c r="L95" s="1">
        <f t="shared" si="2"/>
        <v>0.78970789801803498</v>
      </c>
    </row>
    <row r="96" spans="1:12" x14ac:dyDescent="0.25">
      <c r="A96">
        <v>-5.2416204200877399</v>
      </c>
      <c r="B96">
        <v>8.7614589445395694</v>
      </c>
      <c r="C96">
        <f>IF(A96&lt;'Planungstool Heizlast'!$B$9,'Planungstool Heizlast'!$B$22,IF(A96&gt;15,'Planungstool Heizlast'!$B$21,'Planungstool Heizlast'!$B$20/(15-'Planungstool Heizlast'!$B$9)*(15-Leistungsdaten!A96)+'Planungstool Heizlast'!$B$21))</f>
        <v>7.1443608035182677</v>
      </c>
      <c r="E96">
        <v>-0.928052361730756</v>
      </c>
      <c r="F96">
        <v>13.8005999195315</v>
      </c>
      <c r="G96">
        <f>IF(E96&lt;'Planungstool Heizlast'!$B$9,'Planungstool Heizlast'!$B$22,IF(E96&gt;15,'Planungstool Heizlast'!$B$21,'Planungstool Heizlast'!$B$20/(15-'Planungstool Heizlast'!$B$9)*(15-Leistungsdaten!E96)+'Planungstool Heizlast'!$B$21))</f>
        <v>5.8531868917817986</v>
      </c>
      <c r="I96" s="1">
        <f>IF('Planungstool Heizlast'!$B$4="EU13L",Leistungsdaten!E96,IF('Planungstool Heizlast'!$B$4="EU08L",A96,""))</f>
        <v>-5.2416204200877399</v>
      </c>
      <c r="J96" s="1">
        <f>IF(OR('Planungstool Heizlast'!$B$10="Fußbodenheizung 35°C",'Planungstool Heizlast'!$B$10="Niedertemperaturheizkörper 45°C"),IF('Planungstool Heizlast'!$B$4="EU13L",Leistungsdaten!F96,IF('Planungstool Heizlast'!$B$4="EU08L",Leistungsdaten!B96,"")),IF('Planungstool Heizlast'!$B$4="EU13L",Leistungsdaten!F96,IF('Planungstool Heizlast'!$B$4="EU08L",Leistungsdaten!B96,""))*0.9)*'Planungstool Heizlast'!$B$5</f>
        <v>8.7614589445395694</v>
      </c>
      <c r="K96" s="1">
        <f>IF('Planungstool Heizlast'!$B$4="EU13L",Leistungsdaten!G96,IF('Planungstool Heizlast'!$B$4="EU08L",Leistungsdaten!C96,""))*$B$237</f>
        <v>7.8587968838700952</v>
      </c>
      <c r="L96" s="1">
        <f t="shared" si="2"/>
        <v>0.90266206066947419</v>
      </c>
    </row>
    <row r="97" spans="1:12" x14ac:dyDescent="0.25">
      <c r="A97">
        <v>-5.0212599205370898</v>
      </c>
      <c r="B97">
        <v>8.8017717079258002</v>
      </c>
      <c r="C97">
        <f>IF(A97&lt;'Planungstool Heizlast'!$B$9,'Planungstool Heizlast'!$B$22,IF(A97&gt;15,'Planungstool Heizlast'!$B$21,'Planungstool Heizlast'!$B$20/(15-'Planungstool Heizlast'!$B$9)*(15-Leistungsdaten!A97)+'Planungstool Heizlast'!$B$21))</f>
        <v>7.0784006229095979</v>
      </c>
      <c r="E97">
        <v>-0.68513708988927102</v>
      </c>
      <c r="F97">
        <v>13.8245715368541</v>
      </c>
      <c r="G97">
        <f>IF(E97&lt;'Planungstool Heizlast'!$B$9,'Planungstool Heizlast'!$B$22,IF(E97&gt;15,'Planungstool Heizlast'!$B$21,'Planungstool Heizlast'!$B$20/(15-'Planungstool Heizlast'!$B$9)*(15-Leistungsdaten!E97)+'Planungstool Heizlast'!$B$21))</f>
        <v>5.7804754247269434</v>
      </c>
      <c r="I97" s="1">
        <f>IF('Planungstool Heizlast'!$B$4="EU13L",Leistungsdaten!E97,IF('Planungstool Heizlast'!$B$4="EU08L",A97,""))</f>
        <v>-5.0212599205370898</v>
      </c>
      <c r="J97" s="1">
        <f>IF(OR('Planungstool Heizlast'!$B$10="Fußbodenheizung 35°C",'Planungstool Heizlast'!$B$10="Niedertemperaturheizkörper 45°C"),IF('Planungstool Heizlast'!$B$4="EU13L",Leistungsdaten!F97,IF('Planungstool Heizlast'!$B$4="EU08L",Leistungsdaten!B97,"")),IF('Planungstool Heizlast'!$B$4="EU13L",Leistungsdaten!F97,IF('Planungstool Heizlast'!$B$4="EU08L",Leistungsdaten!B97,""))*0.9)*'Planungstool Heizlast'!$B$5</f>
        <v>8.8017717079258002</v>
      </c>
      <c r="K97" s="1">
        <f>IF('Planungstool Heizlast'!$B$4="EU13L",Leistungsdaten!G97,IF('Planungstool Heizlast'!$B$4="EU08L",Leistungsdaten!C97,""))*$B$237</f>
        <v>7.7862406852005588</v>
      </c>
      <c r="L97" s="1">
        <f t="shared" si="2"/>
        <v>1.0155310227252414</v>
      </c>
    </row>
    <row r="98" spans="1:12" x14ac:dyDescent="0.25">
      <c r="A98">
        <v>-4.8008023517326999</v>
      </c>
      <c r="B98">
        <v>8.8419595619928</v>
      </c>
      <c r="C98">
        <f>IF(A98&lt;'Planungstool Heizlast'!$B$9,'Planungstool Heizlast'!$B$22,IF(A98&gt;15,'Planungstool Heizlast'!$B$21,'Planungstool Heizlast'!$B$20/(15-'Planungstool Heizlast'!$B$9)*(15-Leistungsdaten!A98)+'Planungstool Heizlast'!$B$21))</f>
        <v>7.0124113867055682</v>
      </c>
      <c r="E98">
        <v>-0.44216026691469801</v>
      </c>
      <c r="F98">
        <v>13.8473636186483</v>
      </c>
      <c r="G98">
        <f>IF(E98&lt;'Planungstool Heizlast'!$B$9,'Planungstool Heizlast'!$B$22,IF(E98&gt;15,'Planungstool Heizlast'!$B$21,'Planungstool Heizlast'!$B$20/(15-'Planungstool Heizlast'!$B$9)*(15-Leistungsdaten!E98)+'Planungstool Heizlast'!$B$21))</f>
        <v>5.707745533662961</v>
      </c>
      <c r="I98" s="1">
        <f>IF('Planungstool Heizlast'!$B$4="EU13L",Leistungsdaten!E98,IF('Planungstool Heizlast'!$B$4="EU08L",A98,""))</f>
        <v>-4.8008023517326999</v>
      </c>
      <c r="J98" s="1">
        <f>IF(OR('Planungstool Heizlast'!$B$10="Fußbodenheizung 35°C",'Planungstool Heizlast'!$B$10="Niedertemperaturheizkörper 45°C"),IF('Planungstool Heizlast'!$B$4="EU13L",Leistungsdaten!F98,IF('Planungstool Heizlast'!$B$4="EU08L",Leistungsdaten!B98,"")),IF('Planungstool Heizlast'!$B$4="EU13L",Leistungsdaten!F98,IF('Planungstool Heizlast'!$B$4="EU08L",Leistungsdaten!B98,""))*0.9)*'Planungstool Heizlast'!$B$5</f>
        <v>8.8419595619928</v>
      </c>
      <c r="K98" s="1">
        <f>IF('Planungstool Heizlast'!$B$4="EU13L",Leistungsdaten!G98,IF('Planungstool Heizlast'!$B$4="EU08L",Leistungsdaten!C98,""))*$B$237</f>
        <v>7.7136525253761254</v>
      </c>
      <c r="L98" s="1">
        <f t="shared" si="2"/>
        <v>1.1283070366166745</v>
      </c>
    </row>
    <row r="99" spans="1:12" x14ac:dyDescent="0.25">
      <c r="A99">
        <v>-4.5802487497342002</v>
      </c>
      <c r="B99">
        <v>8.8820149904532997</v>
      </c>
      <c r="C99">
        <f>IF(A99&lt;'Planungstool Heizlast'!$B$9,'Planungstool Heizlast'!$B$22,IF(A99&gt;15,'Planungstool Heizlast'!$B$21,'Planungstool Heizlast'!$B$20/(15-'Planungstool Heizlast'!$B$9)*(15-Leistungsdaten!A99)+'Planungstool Heizlast'!$B$21))</f>
        <v>6.9463934050283669</v>
      </c>
      <c r="E99">
        <v>-0.199123215146221</v>
      </c>
      <c r="F99">
        <v>13.8689436422254</v>
      </c>
      <c r="G99">
        <f>IF(E99&lt;'Planungstool Heizlast'!$B$9,'Planungstool Heizlast'!$B$22,IF(E99&gt;15,'Planungstool Heizlast'!$B$21,'Planungstool Heizlast'!$B$20/(15-'Planungstool Heizlast'!$B$9)*(15-Leistungsdaten!E99)+'Planungstool Heizlast'!$B$21))</f>
        <v>5.6349976144036722</v>
      </c>
      <c r="I99" s="1">
        <f>IF('Planungstool Heizlast'!$B$4="EU13L",Leistungsdaten!E99,IF('Planungstool Heizlast'!$B$4="EU08L",A99,""))</f>
        <v>-4.5802487497342002</v>
      </c>
      <c r="J99" s="1">
        <f>IF(OR('Planungstool Heizlast'!$B$10="Fußbodenheizung 35°C",'Planungstool Heizlast'!$B$10="Niedertemperaturheizkörper 45°C"),IF('Planungstool Heizlast'!$B$4="EU13L",Leistungsdaten!F99,IF('Planungstool Heizlast'!$B$4="EU08L",Leistungsdaten!B99,"")),IF('Planungstool Heizlast'!$B$4="EU13L",Leistungsdaten!F99,IF('Planungstool Heizlast'!$B$4="EU08L",Leistungsdaten!B99,""))*0.9)*'Planungstool Heizlast'!$B$5</f>
        <v>8.8820149904532997</v>
      </c>
      <c r="K99" s="1">
        <f>IF('Planungstool Heizlast'!$B$4="EU13L",Leistungsdaten!G99,IF('Planungstool Heizlast'!$B$4="EU08L",Leistungsdaten!C99,""))*$B$237</f>
        <v>7.6410327455312039</v>
      </c>
      <c r="L99" s="1">
        <f t="shared" si="2"/>
        <v>1.2409822449220957</v>
      </c>
    </row>
    <row r="100" spans="1:12" x14ac:dyDescent="0.25">
      <c r="A100">
        <v>-4.3596001538527096</v>
      </c>
      <c r="B100">
        <v>8.9219303664673095</v>
      </c>
      <c r="C100">
        <f>IF(A100&lt;'Planungstool Heizlast'!$B$9,'Planungstool Heizlast'!$B$22,IF(A100&gt;15,'Planungstool Heizlast'!$B$21,'Planungstool Heizlast'!$B$20/(15-'Planungstool Heizlast'!$B$9)*(15-Leistungsdaten!A100)+'Planungstool Heizlast'!$B$21))</f>
        <v>6.8803469889734465</v>
      </c>
      <c r="E100">
        <v>4.3972736977315997E-2</v>
      </c>
      <c r="F100">
        <v>13.908660091816101</v>
      </c>
      <c r="G100">
        <f>IF(E100&lt;'Planungstool Heizlast'!$B$9,'Planungstool Heizlast'!$B$22,IF(E100&gt;15,'Planungstool Heizlast'!$B$21,'Planungstool Heizlast'!$B$20/(15-'Planungstool Heizlast'!$B$9)*(15-Leistungsdaten!E100)+'Planungstool Heizlast'!$B$21))</f>
        <v>5.5622320645886996</v>
      </c>
      <c r="I100" s="1">
        <f>IF('Planungstool Heizlast'!$B$4="EU13L",Leistungsdaten!E100,IF('Planungstool Heizlast'!$B$4="EU08L",A100,""))</f>
        <v>-4.3596001538527096</v>
      </c>
      <c r="J100" s="1">
        <f>IF(OR('Planungstool Heizlast'!$B$10="Fußbodenheizung 35°C",'Planungstool Heizlast'!$B$10="Niedertemperaturheizkörper 45°C"),IF('Planungstool Heizlast'!$B$4="EU13L",Leistungsdaten!F100,IF('Planungstool Heizlast'!$B$4="EU08L",Leistungsdaten!B100,"")),IF('Planungstool Heizlast'!$B$4="EU13L",Leistungsdaten!F100,IF('Planungstool Heizlast'!$B$4="EU08L",Leistungsdaten!B100,""))*0.9)*'Planungstool Heizlast'!$B$5</f>
        <v>8.9219303664673095</v>
      </c>
      <c r="K100" s="1">
        <f>IF('Planungstool Heizlast'!$B$4="EU13L",Leistungsdaten!G100,IF('Planungstool Heizlast'!$B$4="EU08L",Leistungsdaten!C100,""))*$B$237</f>
        <v>7.5683816878707919</v>
      </c>
      <c r="L100" s="1">
        <f t="shared" si="2"/>
        <v>1.3535486785965176</v>
      </c>
    </row>
    <row r="101" spans="1:12" x14ac:dyDescent="0.25">
      <c r="A101">
        <v>-4.1388576065702001</v>
      </c>
      <c r="B101">
        <v>8.9616979508162302</v>
      </c>
      <c r="C101">
        <f>IF(A101&lt;'Planungstool Heizlast'!$B$9,'Planungstool Heizlast'!$B$22,IF(A101&gt;15,'Planungstool Heizlast'!$B$21,'Planungstool Heizlast'!$B$20/(15-'Planungstool Heizlast'!$B$9)*(15-Leistungsdaten!A101)+'Planungstool Heizlast'!$B$21))</f>
        <v>6.8142724505853831</v>
      </c>
      <c r="E101">
        <v>0.28712625491738097</v>
      </c>
      <c r="F101">
        <v>14.037620584453901</v>
      </c>
      <c r="G101">
        <f>IF(E101&lt;'Planungstool Heizlast'!$B$9,'Planungstool Heizlast'!$B$22,IF(E101&gt;15,'Planungstool Heizlast'!$B$21,'Planungstool Heizlast'!$B$20/(15-'Planungstool Heizlast'!$B$9)*(15-Leistungsdaten!E101)+'Planungstool Heizlast'!$B$21))</f>
        <v>5.4894492836834781</v>
      </c>
      <c r="I101" s="1">
        <f>IF('Planungstool Heizlast'!$B$4="EU13L",Leistungsdaten!E101,IF('Planungstool Heizlast'!$B$4="EU08L",A101,""))</f>
        <v>-4.1388576065702001</v>
      </c>
      <c r="J101" s="1">
        <f>IF(OR('Planungstool Heizlast'!$B$10="Fußbodenheizung 35°C",'Planungstool Heizlast'!$B$10="Niedertemperaturheizkörper 45°C"),IF('Planungstool Heizlast'!$B$4="EU13L",Leistungsdaten!F101,IF('Planungstool Heizlast'!$B$4="EU08L",Leistungsdaten!B101,"")),IF('Planungstool Heizlast'!$B$4="EU13L",Leistungsdaten!F101,IF('Planungstool Heizlast'!$B$4="EU08L",Leistungsdaten!B101,""))*0.9)*'Planungstool Heizlast'!$B$5</f>
        <v>8.9616979508162302</v>
      </c>
      <c r="K101" s="1">
        <f>IF('Planungstool Heizlast'!$B$4="EU13L",Leistungsdaten!G101,IF('Planungstool Heizlast'!$B$4="EU08L",Leistungsdaten!C101,""))*$B$237</f>
        <v>7.4956996956439221</v>
      </c>
      <c r="L101" s="1">
        <f t="shared" si="2"/>
        <v>1.4659982551723081</v>
      </c>
    </row>
    <row r="102" spans="1:12" x14ac:dyDescent="0.25">
      <c r="A102">
        <v>-3.91802215346272</v>
      </c>
      <c r="B102">
        <v>9.0013098900488107</v>
      </c>
      <c r="C102">
        <f>IF(A102&lt;'Planungstool Heizlast'!$B$9,'Planungstool Heizlast'!$B$22,IF(A102&gt;15,'Planungstool Heizlast'!$B$21,'Planungstool Heizlast'!$B$20/(15-'Planungstool Heizlast'!$B$9)*(15-Leistungsdaten!A102)+'Planungstool Heizlast'!$B$21))</f>
        <v>6.7481701028349015</v>
      </c>
      <c r="E102">
        <v>0.53033599803575904</v>
      </c>
      <c r="F102">
        <v>14.1700241930298</v>
      </c>
      <c r="G102">
        <f>IF(E102&lt;'Planungstool Heizlast'!$B$9,'Planungstool Heizlast'!$B$22,IF(E102&gt;15,'Planungstool Heizlast'!$B$21,'Planungstool Heizlast'!$B$20/(15-'Planungstool Heizlast'!$B$9)*(15-Leistungsdaten!E102)+'Planungstool Heizlast'!$B$21))</f>
        <v>5.4166496729792506</v>
      </c>
      <c r="I102" s="1">
        <f>IF('Planungstool Heizlast'!$B$4="EU13L",Leistungsdaten!E102,IF('Planungstool Heizlast'!$B$4="EU08L",A102,""))</f>
        <v>-3.91802215346272</v>
      </c>
      <c r="J102" s="1">
        <f>IF(OR('Planungstool Heizlast'!$B$10="Fußbodenheizung 35°C",'Planungstool Heizlast'!$B$10="Niedertemperaturheizkörper 45°C"),IF('Planungstool Heizlast'!$B$4="EU13L",Leistungsdaten!F102,IF('Planungstool Heizlast'!$B$4="EU08L",Leistungsdaten!B102,"")),IF('Planungstool Heizlast'!$B$4="EU13L",Leistungsdaten!F102,IF('Planungstool Heizlast'!$B$4="EU08L",Leistungsdaten!B102,""))*0.9)*'Planungstool Heizlast'!$B$5</f>
        <v>9.0013098900488107</v>
      </c>
      <c r="K102" s="1">
        <f>IF('Planungstool Heizlast'!$B$4="EU13L",Leistungsdaten!G102,IF('Planungstool Heizlast'!$B$4="EU08L",Leistungsdaten!C102,""))*$B$237</f>
        <v>7.422987113118392</v>
      </c>
      <c r="L102" s="1">
        <f t="shared" si="2"/>
        <v>1.5783227769304187</v>
      </c>
    </row>
    <row r="103" spans="1:12" x14ac:dyDescent="0.25">
      <c r="A103">
        <v>-3.6970948431276001</v>
      </c>
      <c r="B103">
        <v>9.0407582145987799</v>
      </c>
      <c r="C103">
        <f>IF(A103&lt;'Planungstool Heizlast'!$B$9,'Planungstool Heizlast'!$B$22,IF(A103&gt;15,'Planungstool Heizlast'!$B$21,'Planungstool Heizlast'!$B$20/(15-'Planungstool Heizlast'!$B$9)*(15-Leistungsdaten!A103)+'Planungstool Heizlast'!$B$21))</f>
        <v>6.6820402595970831</v>
      </c>
      <c r="E103">
        <v>0.77360061959458004</v>
      </c>
      <c r="F103">
        <v>14.305984776811201</v>
      </c>
      <c r="G103">
        <f>IF(E103&lt;'Planungstool Heizlast'!$B$9,'Planungstool Heizlast'!$B$22,IF(E103&gt;15,'Planungstool Heizlast'!$B$21,'Planungstool Heizlast'!$B$20/(15-'Planungstool Heizlast'!$B$9)*(15-Leistungsdaten!E103)+'Planungstool Heizlast'!$B$21))</f>
        <v>5.3438336355930618</v>
      </c>
      <c r="I103" s="1">
        <f>IF('Planungstool Heizlast'!$B$4="EU13L",Leistungsdaten!E103,IF('Planungstool Heizlast'!$B$4="EU08L",A103,""))</f>
        <v>-3.6970948431276001</v>
      </c>
      <c r="J103" s="1">
        <f>IF(OR('Planungstool Heizlast'!$B$10="Fußbodenheizung 35°C",'Planungstool Heizlast'!$B$10="Niedertemperaturheizkörper 45°C"),IF('Planungstool Heizlast'!$B$4="EU13L",Leistungsdaten!F103,IF('Planungstool Heizlast'!$B$4="EU08L",Leistungsdaten!B103,"")),IF('Planungstool Heizlast'!$B$4="EU13L",Leistungsdaten!F103,IF('Planungstool Heizlast'!$B$4="EU08L",Leistungsdaten!B103,""))*0.9)*'Planungstool Heizlast'!$B$5</f>
        <v>9.0407582145987799</v>
      </c>
      <c r="K103" s="1">
        <f>IF('Planungstool Heizlast'!$B$4="EU13L",Leistungsdaten!G103,IF('Planungstool Heizlast'!$B$4="EU08L",Leistungsdaten!C103,""))*$B$237</f>
        <v>7.3502442855567924</v>
      </c>
      <c r="L103" s="1">
        <f t="shared" si="2"/>
        <v>1.6905139290419875</v>
      </c>
    </row>
    <row r="104" spans="1:12" x14ac:dyDescent="0.25">
      <c r="A104">
        <v>-3.4760767271142199</v>
      </c>
      <c r="B104">
        <v>9.0800348368736898</v>
      </c>
      <c r="C104">
        <f>IF(A104&lt;'Planungstool Heizlast'!$B$9,'Planungstool Heizlast'!$B$22,IF(A104&gt;15,'Planungstool Heizlast'!$B$21,'Planungstool Heizlast'!$B$20/(15-'Planungstool Heizlast'!$B$9)*(15-Leistungsdaten!A104)+'Planungstool Heizlast'!$B$21))</f>
        <v>6.6158832356306361</v>
      </c>
      <c r="E104">
        <v>1.01691876675628</v>
      </c>
      <c r="F104">
        <v>14.4456194127466</v>
      </c>
      <c r="G104">
        <f>IF(E104&lt;'Planungstool Heizlast'!$B$9,'Planungstool Heizlast'!$B$22,IF(E104&gt;15,'Planungstool Heizlast'!$B$21,'Planungstool Heizlast'!$B$20/(15-'Planungstool Heizlast'!$B$9)*(15-Leistungsdaten!E104)+'Planungstool Heizlast'!$B$21))</f>
        <v>5.271001576467766</v>
      </c>
      <c r="I104" s="1">
        <f>IF('Planungstool Heizlast'!$B$4="EU13L",Leistungsdaten!E104,IF('Planungstool Heizlast'!$B$4="EU08L",A104,""))</f>
        <v>-3.4760767271142199</v>
      </c>
      <c r="J104" s="1">
        <f>IF(OR('Planungstool Heizlast'!$B$10="Fußbodenheizung 35°C",'Planungstool Heizlast'!$B$10="Niedertemperaturheizkörper 45°C"),IF('Planungstool Heizlast'!$B$4="EU13L",Leistungsdaten!F104,IF('Planungstool Heizlast'!$B$4="EU08L",Leistungsdaten!B104,"")),IF('Planungstool Heizlast'!$B$4="EU13L",Leistungsdaten!F104,IF('Planungstool Heizlast'!$B$4="EU08L",Leistungsdaten!B104,""))*0.9)*'Planungstool Heizlast'!$B$5</f>
        <v>9.0800348368736898</v>
      </c>
      <c r="K104" s="1">
        <f>IF('Planungstool Heizlast'!$B$4="EU13L",Leistungsdaten!G104,IF('Planungstool Heizlast'!$B$4="EU08L",Leistungsdaten!C104,""))*$B$237</f>
        <v>7.2774715591937005</v>
      </c>
      <c r="L104" s="1">
        <f t="shared" si="2"/>
        <v>1.8025632776799894</v>
      </c>
    </row>
    <row r="105" spans="1:12" x14ac:dyDescent="0.25">
      <c r="A105">
        <v>-3.2549688598584199</v>
      </c>
      <c r="B105">
        <v>9.11913154931481</v>
      </c>
      <c r="C105">
        <f>IF(A105&lt;'Planungstool Heizlast'!$B$9,'Planungstool Heizlast'!$B$22,IF(A105&gt;15,'Planungstool Heizlast'!$B$21,'Planungstool Heizlast'!$B$20/(15-'Planungstool Heizlast'!$B$9)*(15-Leistungsdaten!A105)+'Planungstool Heizlast'!$B$21))</f>
        <v>6.5496993465582749</v>
      </c>
      <c r="E105">
        <v>1.26028908058365</v>
      </c>
      <c r="F105">
        <v>14.5890484733018</v>
      </c>
      <c r="G105">
        <f>IF(E105&lt;'Planungstool Heizlast'!$B$9,'Planungstool Heizlast'!$B$22,IF(E105&gt;15,'Planungstool Heizlast'!$B$21,'Planungstool Heizlast'!$B$20/(15-'Planungstool Heizlast'!$B$9)*(15-Leistungsdaten!E105)+'Planungstool Heizlast'!$B$21))</f>
        <v>5.1981539023720185</v>
      </c>
      <c r="I105" s="1">
        <f>IF('Planungstool Heizlast'!$B$4="EU13L",Leistungsdaten!E105,IF('Planungstool Heizlast'!$B$4="EU08L",A105,""))</f>
        <v>-3.2549688598584199</v>
      </c>
      <c r="J105" s="1">
        <f>IF(OR('Planungstool Heizlast'!$B$10="Fußbodenheizung 35°C",'Planungstool Heizlast'!$B$10="Niedertemperaturheizkörper 45°C"),IF('Planungstool Heizlast'!$B$4="EU13L",Leistungsdaten!F105,IF('Planungstool Heizlast'!$B$4="EU08L",Leistungsdaten!B105,"")),IF('Planungstool Heizlast'!$B$4="EU13L",Leistungsdaten!F105,IF('Planungstool Heizlast'!$B$4="EU08L",Leistungsdaten!B105,""))*0.9)*'Planungstool Heizlast'!$B$5</f>
        <v>9.11913154931481</v>
      </c>
      <c r="K105" s="1">
        <f>IF('Planungstool Heizlast'!$B$4="EU13L",Leistungsdaten!G105,IF('Planungstool Heizlast'!$B$4="EU08L",Leistungsdaten!C105,""))*$B$237</f>
        <v>7.2046692812141027</v>
      </c>
      <c r="L105" s="1">
        <f t="shared" si="2"/>
        <v>1.9144622681007073</v>
      </c>
    </row>
    <row r="106" spans="1:12" x14ac:dyDescent="0.25">
      <c r="A106">
        <v>-3.0337722986203199</v>
      </c>
      <c r="B106">
        <v>9.1580400224276204</v>
      </c>
      <c r="C106">
        <f>IF(A106&lt;'Planungstool Heizlast'!$B$9,'Planungstool Heizlast'!$B$22,IF(A106&gt;15,'Planungstool Heizlast'!$B$21,'Planungstool Heizlast'!$B$20/(15-'Planungstool Heizlast'!$B$9)*(15-Leistungsdaten!A106)+'Planungstool Heizlast'!$B$21))</f>
        <v>6.4834889088480985</v>
      </c>
      <c r="E106">
        <v>1.5037101960397801</v>
      </c>
      <c r="F106">
        <v>14.736395705921799</v>
      </c>
      <c r="G106">
        <f>IF(E106&lt;'Planungstool Heizlast'!$B$9,'Planungstool Heizlast'!$B$22,IF(E106&gt;15,'Planungstool Heizlast'!$B$21,'Planungstool Heizlast'!$B$20/(15-'Planungstool Heizlast'!$B$9)*(15-Leistungsdaten!E106)+'Planungstool Heizlast'!$B$21))</f>
        <v>5.1252910219002858</v>
      </c>
      <c r="I106" s="1">
        <f>IF('Planungstool Heizlast'!$B$4="EU13L",Leistungsdaten!E106,IF('Planungstool Heizlast'!$B$4="EU08L",A106,""))</f>
        <v>-3.0337722986203199</v>
      </c>
      <c r="J106" s="1">
        <f>IF(OR('Planungstool Heizlast'!$B$10="Fußbodenheizung 35°C",'Planungstool Heizlast'!$B$10="Niedertemperaturheizkörper 45°C"),IF('Planungstool Heizlast'!$B$4="EU13L",Leistungsdaten!F106,IF('Planungstool Heizlast'!$B$4="EU08L",Leistungsdaten!B106,"")),IF('Planungstool Heizlast'!$B$4="EU13L",Leistungsdaten!F106,IF('Planungstool Heizlast'!$B$4="EU08L",Leistungsdaten!B106,""))*0.9)*'Planungstool Heizlast'!$B$5</f>
        <v>9.1580400224276204</v>
      </c>
      <c r="K106" s="1">
        <f>IF('Planungstool Heizlast'!$B$4="EU13L",Leistungsdaten!G106,IF('Planungstool Heizlast'!$B$4="EU08L",Leistungsdaten!C106,""))*$B$237</f>
        <v>7.1318377997329092</v>
      </c>
      <c r="L106" s="1">
        <f t="shared" si="2"/>
        <v>2.0262022226947112</v>
      </c>
    </row>
    <row r="107" spans="1:12" x14ac:dyDescent="0.25">
      <c r="A107">
        <v>-2.8124881034254101</v>
      </c>
      <c r="B107">
        <v>9.1967518027826998</v>
      </c>
      <c r="C107">
        <f>IF(A107&lt;'Planungstool Heizlast'!$B$9,'Planungstool Heizlast'!$B$22,IF(A107&gt;15,'Planungstool Heizlast'!$B$21,'Planungstool Heizlast'!$B$20/(15-'Planungstool Heizlast'!$B$9)*(15-Leistungsdaten!A107)+'Planungstool Heizlast'!$B$21))</f>
        <v>6.4172522397959595</v>
      </c>
      <c r="E107">
        <v>1.74718074198808</v>
      </c>
      <c r="F107">
        <v>14.8877883141468</v>
      </c>
      <c r="G107">
        <f>IF(E107&lt;'Planungstool Heizlast'!$B$9,'Planungstool Heizlast'!$B$22,IF(E107&gt;15,'Planungstool Heizlast'!$B$21,'Planungstool Heizlast'!$B$20/(15-'Planungstool Heizlast'!$B$9)*(15-Leistungsdaten!E107)+'Planungstool Heizlast'!$B$21))</f>
        <v>5.0524133454728464</v>
      </c>
      <c r="I107" s="1">
        <f>IF('Planungstool Heizlast'!$B$4="EU13L",Leistungsdaten!E107,IF('Planungstool Heizlast'!$B$4="EU08L",A107,""))</f>
        <v>-2.8124881034254101</v>
      </c>
      <c r="J107" s="1">
        <f>IF(OR('Planungstool Heizlast'!$B$10="Fußbodenheizung 35°C",'Planungstool Heizlast'!$B$10="Niedertemperaturheizkörper 45°C"),IF('Planungstool Heizlast'!$B$4="EU13L",Leistungsdaten!F107,IF('Planungstool Heizlast'!$B$4="EU08L",Leistungsdaten!B107,"")),IF('Planungstool Heizlast'!$B$4="EU13L",Leistungsdaten!F107,IF('Planungstool Heizlast'!$B$4="EU08L",Leistungsdaten!B107,""))*0.9)*'Planungstool Heizlast'!$B$5</f>
        <v>9.1967518027826998</v>
      </c>
      <c r="K107" s="1">
        <f>IF('Planungstool Heizlast'!$B$4="EU13L",Leistungsdaten!G107,IF('Planungstool Heizlast'!$B$4="EU08L",Leistungsdaten!C107,""))*$B$237</f>
        <v>7.0589774637755562</v>
      </c>
      <c r="L107" s="1">
        <f t="shared" si="2"/>
        <v>2.1377743390071435</v>
      </c>
    </row>
    <row r="108" spans="1:12" x14ac:dyDescent="0.25">
      <c r="A108">
        <v>-2.5911173370089</v>
      </c>
      <c r="B108">
        <v>9.2352583109866</v>
      </c>
      <c r="C108">
        <f>IF(A108&lt;'Planungstool Heizlast'!$B$9,'Planungstool Heizlast'!$B$22,IF(A108&gt;15,'Planungstool Heizlast'!$B$21,'Planungstool Heizlast'!$B$20/(15-'Planungstool Heizlast'!$B$9)*(15-Leistungsdaten!A108)+'Planungstool Heizlast'!$B$21))</f>
        <v>6.3509896575088085</v>
      </c>
      <c r="E108">
        <v>1.9906993411923</v>
      </c>
      <c r="F108">
        <v>15.043357040409701</v>
      </c>
      <c r="G108">
        <f>IF(E108&lt;'Planungstool Heizlast'!$B$9,'Planungstool Heizlast'!$B$22,IF(E108&gt;15,'Planungstool Heizlast'!$B$21,'Planungstool Heizlast'!$B$20/(15-'Planungstool Heizlast'!$B$9)*(15-Leistungsdaten!E108)+'Planungstool Heizlast'!$B$21))</f>
        <v>4.9795212853357764</v>
      </c>
      <c r="I108" s="1">
        <f>IF('Planungstool Heizlast'!$B$4="EU13L",Leistungsdaten!E108,IF('Planungstool Heizlast'!$B$4="EU08L",A108,""))</f>
        <v>-2.5911173370089</v>
      </c>
      <c r="J108" s="1">
        <f>IF(OR('Planungstool Heizlast'!$B$10="Fußbodenheizung 35°C",'Planungstool Heizlast'!$B$10="Niedertemperaturheizkörper 45°C"),IF('Planungstool Heizlast'!$B$4="EU13L",Leistungsdaten!F108,IF('Planungstool Heizlast'!$B$4="EU08L",Leistungsdaten!B108,"")),IF('Planungstool Heizlast'!$B$4="EU13L",Leistungsdaten!F108,IF('Planungstool Heizlast'!$B$4="EU08L",Leistungsdaten!B108,""))*0.9)*'Planungstool Heizlast'!$B$5</f>
        <v>9.2352583109866</v>
      </c>
      <c r="K108" s="1">
        <f>IF('Planungstool Heizlast'!$B$4="EU13L",Leistungsdaten!G108,IF('Planungstool Heizlast'!$B$4="EU08L",Leistungsdaten!C108,""))*$B$237</f>
        <v>6.9860886232596897</v>
      </c>
      <c r="L108" s="1">
        <f t="shared" si="2"/>
        <v>2.2491696877269103</v>
      </c>
    </row>
    <row r="109" spans="1:12" x14ac:dyDescent="0.25">
      <c r="A109">
        <v>-2.36966106476306</v>
      </c>
      <c r="B109">
        <v>9.2735508396224606</v>
      </c>
      <c r="C109">
        <f>IF(A109&lt;'Planungstool Heizlast'!$B$9,'Planungstool Heizlast'!$B$22,IF(A109&gt;15,'Planungstool Heizlast'!$B$21,'Planungstool Heizlast'!$B$20/(15-'Planungstool Heizlast'!$B$9)*(15-Leistungsdaten!A109)+'Planungstool Heizlast'!$B$21))</f>
        <v>6.2847014808889297</v>
      </c>
      <c r="E109">
        <v>2.2342646103165098</v>
      </c>
      <c r="F109">
        <v>15.2032362505437</v>
      </c>
      <c r="G109">
        <f>IF(E109&lt;'Planungstool Heizlast'!$B$9,'Planungstool Heizlast'!$B$22,IF(E109&gt;15,'Planungstool Heizlast'!$B$21,'Planungstool Heizlast'!$B$20/(15-'Planungstool Heizlast'!$B$9)*(15-Leistungsdaten!E109)+'Planungstool Heizlast'!$B$21))</f>
        <v>4.9066152555609648</v>
      </c>
      <c r="I109" s="1">
        <f>IF('Planungstool Heizlast'!$B$4="EU13L",Leistungsdaten!E109,IF('Planungstool Heizlast'!$B$4="EU08L",A109,""))</f>
        <v>-2.36966106476306</v>
      </c>
      <c r="J109" s="1">
        <f>IF(OR('Planungstool Heizlast'!$B$10="Fußbodenheizung 35°C",'Planungstool Heizlast'!$B$10="Niedertemperaturheizkörper 45°C"),IF('Planungstool Heizlast'!$B$4="EU13L",Leistungsdaten!F109,IF('Planungstool Heizlast'!$B$4="EU08L",Leistungsdaten!B109,"")),IF('Planungstool Heizlast'!$B$4="EU13L",Leistungsdaten!F109,IF('Planungstool Heizlast'!$B$4="EU08L",Leistungsdaten!B109,""))*0.9)*'Planungstool Heizlast'!$B$5</f>
        <v>9.2735508396224606</v>
      </c>
      <c r="K109" s="1">
        <f>IF('Planungstool Heizlast'!$B$4="EU13L",Leistungsdaten!G109,IF('Planungstool Heizlast'!$B$4="EU08L",Leistungsdaten!C109,""))*$B$237</f>
        <v>6.9131716289778229</v>
      </c>
      <c r="L109" s="1">
        <f t="shared" si="2"/>
        <v>2.3603792106446377</v>
      </c>
    </row>
    <row r="110" spans="1:12" x14ac:dyDescent="0.25">
      <c r="A110">
        <v>-2.1481203546875598</v>
      </c>
      <c r="B110">
        <v>9.31162055116007</v>
      </c>
      <c r="C110">
        <f>IF(A110&lt;'Planungstool Heizlast'!$B$9,'Planungstool Heizlast'!$B$22,IF(A110&gt;15,'Planungstool Heizlast'!$B$21,'Planungstool Heizlast'!$B$20/(15-'Planungstool Heizlast'!$B$9)*(15-Leistungsdaten!A110)+'Planungstool Heizlast'!$B$21))</f>
        <v>6.2183880296190743</v>
      </c>
      <c r="E110">
        <v>2.4778751599251199</v>
      </c>
      <c r="F110">
        <v>15.3675640200288</v>
      </c>
      <c r="G110">
        <f>IF(E110&lt;'Planungstool Heizlast'!$B$9,'Planungstool Heizlast'!$B$22,IF(E110&gt;15,'Planungstool Heizlast'!$B$21,'Planungstool Heizlast'!$B$20/(15-'Planungstool Heizlast'!$B$9)*(15-Leistungsdaten!E110)+'Planungstool Heizlast'!$B$21))</f>
        <v>4.8336956720460993</v>
      </c>
      <c r="I110" s="1">
        <f>IF('Planungstool Heizlast'!$B$4="EU13L",Leistungsdaten!E110,IF('Planungstool Heizlast'!$B$4="EU08L",A110,""))</f>
        <v>-2.1481203546875598</v>
      </c>
      <c r="J110" s="1">
        <f>IF(OR('Planungstool Heizlast'!$B$10="Fußbodenheizung 35°C",'Planungstool Heizlast'!$B$10="Niedertemperaturheizkörper 45°C"),IF('Planungstool Heizlast'!$B$4="EU13L",Leistungsdaten!F110,IF('Planungstool Heizlast'!$B$4="EU08L",Leistungsdaten!B110,"")),IF('Planungstool Heizlast'!$B$4="EU13L",Leistungsdaten!F110,IF('Planungstool Heizlast'!$B$4="EU08L",Leistungsdaten!B110,""))*0.9)*'Planungstool Heizlast'!$B$5</f>
        <v>9.31162055116007</v>
      </c>
      <c r="K110" s="1">
        <f>IF('Planungstool Heizlast'!$B$4="EU13L",Leistungsdaten!G110,IF('Planungstool Heizlast'!$B$4="EU08L",Leistungsdaten!C110,""))*$B$237</f>
        <v>6.8402268325809823</v>
      </c>
      <c r="L110" s="1">
        <f t="shared" si="2"/>
        <v>2.4713937185790877</v>
      </c>
    </row>
    <row r="111" spans="1:12" x14ac:dyDescent="0.25">
      <c r="A111">
        <v>-1.92649627734264</v>
      </c>
      <c r="B111">
        <v>9.3494584758349699</v>
      </c>
      <c r="C111">
        <f>IF(A111&lt;'Planungstool Heizlast'!$B$9,'Planungstool Heizlast'!$B$22,IF(A111&gt;15,'Planungstool Heizlast'!$B$21,'Planungstool Heizlast'!$B$20/(15-'Planungstool Heizlast'!$B$9)*(15-Leistungsdaten!A111)+'Planungstool Heizlast'!$B$21))</f>
        <v>6.1520496241484484</v>
      </c>
      <c r="E111">
        <v>2.7215295944828499</v>
      </c>
      <c r="F111">
        <v>15.5364822220055</v>
      </c>
      <c r="G111">
        <f>IF(E111&lt;'Planungstool Heizlast'!$B$9,'Planungstool Heizlast'!$B$22,IF(E111&gt;15,'Planungstool Heizlast'!$B$21,'Planungstool Heizlast'!$B$20/(15-'Planungstool Heizlast'!$B$9)*(15-Leistungsdaten!E111)+'Planungstool Heizlast'!$B$21))</f>
        <v>4.7607629525146802</v>
      </c>
      <c r="I111" s="1">
        <f>IF('Planungstool Heizlast'!$B$4="EU13L",Leistungsdaten!E111,IF('Planungstool Heizlast'!$B$4="EU08L",A111,""))</f>
        <v>-1.92649627734264</v>
      </c>
      <c r="J111" s="1">
        <f>IF(OR('Planungstool Heizlast'!$B$10="Fußbodenheizung 35°C",'Planungstool Heizlast'!$B$10="Niedertemperaturheizkörper 45°C"),IF('Planungstool Heizlast'!$B$4="EU13L",Leistungsdaten!F111,IF('Planungstool Heizlast'!$B$4="EU08L",Leistungsdaten!B111,"")),IF('Planungstool Heizlast'!$B$4="EU13L",Leistungsdaten!F111,IF('Planungstool Heizlast'!$B$4="EU08L",Leistungsdaten!B111,""))*0.9)*'Planungstool Heizlast'!$B$5</f>
        <v>9.3494584758349699</v>
      </c>
      <c r="K111" s="1">
        <f>IF('Planungstool Heizlast'!$B$4="EU13L",Leistungsdaten!G111,IF('Planungstool Heizlast'!$B$4="EU08L",Leistungsdaten!C111,""))*$B$237</f>
        <v>6.7672545865632934</v>
      </c>
      <c r="L111" s="1">
        <f t="shared" si="2"/>
        <v>2.5822038892716765</v>
      </c>
    </row>
    <row r="112" spans="1:12" x14ac:dyDescent="0.25">
      <c r="A112">
        <v>-1.7047899058049401</v>
      </c>
      <c r="B112">
        <v>9.3870555094963493</v>
      </c>
      <c r="C112">
        <f>IF(A112&lt;'Planungstool Heizlast'!$B$9,'Planungstool Heizlast'!$B$22,IF(A112&gt;15,'Planungstool Heizlast'!$B$21,'Planungstool Heizlast'!$B$20/(15-'Planungstool Heizlast'!$B$9)*(15-Leistungsdaten!A112)+'Planungstool Heizlast'!$B$21))</f>
        <v>6.0856865856794862</v>
      </c>
      <c r="E112">
        <v>2.9652265123547301</v>
      </c>
      <c r="F112">
        <v>15.710136617085301</v>
      </c>
      <c r="G112">
        <f>IF(E112&lt;'Planungstool Heizlast'!$B$9,'Planungstool Heizlast'!$B$22,IF(E112&gt;15,'Planungstool Heizlast'!$B$21,'Planungstool Heizlast'!$B$20/(15-'Planungstool Heizlast'!$B$9)*(15-Leistungsdaten!E112)+'Planungstool Heizlast'!$B$21))</f>
        <v>4.6878175165160165</v>
      </c>
      <c r="I112" s="1">
        <f>IF('Planungstool Heizlast'!$B$4="EU13L",Leistungsdaten!E112,IF('Planungstool Heizlast'!$B$4="EU08L",A112,""))</f>
        <v>-1.7047899058049401</v>
      </c>
      <c r="J112" s="1">
        <f>IF(OR('Planungstool Heizlast'!$B$10="Fußbodenheizung 35°C",'Planungstool Heizlast'!$B$10="Niedertemperaturheizkörper 45°C"),IF('Planungstool Heizlast'!$B$4="EU13L",Leistungsdaten!F112,IF('Planungstool Heizlast'!$B$4="EU08L",Leistungsdaten!B112,"")),IF('Planungstool Heizlast'!$B$4="EU13L",Leistungsdaten!F112,IF('Planungstool Heizlast'!$B$4="EU08L",Leistungsdaten!B112,""))*0.9)*'Planungstool Heizlast'!$B$5</f>
        <v>9.3870555094963493</v>
      </c>
      <c r="K112" s="1">
        <f>IF('Planungstool Heizlast'!$B$4="EU13L",Leistungsdaten!G112,IF('Planungstool Heizlast'!$B$4="EU08L",Leistungsdaten!C112,""))*$B$237</f>
        <v>6.6942552442474357</v>
      </c>
      <c r="L112" s="1">
        <f t="shared" si="2"/>
        <v>2.6928002652489136</v>
      </c>
    </row>
    <row r="113" spans="1:12" x14ac:dyDescent="0.25">
      <c r="A113">
        <v>-1.4830023156260801</v>
      </c>
      <c r="B113">
        <v>9.4244024114235305</v>
      </c>
      <c r="C113">
        <f>IF(A113&lt;'Planungstool Heizlast'!$B$9,'Planungstool Heizlast'!$B$22,IF(A113&gt;15,'Planungstool Heizlast'!$B$21,'Planungstool Heizlast'!$B$20/(15-'Planungstool Heizlast'!$B$9)*(15-Leistungsdaten!A113)+'Planungstool Heizlast'!$B$21))</f>
        <v>6.0192992361554554</v>
      </c>
      <c r="E113">
        <v>3.2089645058061498</v>
      </c>
      <c r="F113">
        <v>15.888676944986999</v>
      </c>
      <c r="G113">
        <f>IF(E113&lt;'Planungstool Heizlast'!$B$9,'Planungstool Heizlast'!$B$22,IF(E113&gt;15,'Planungstool Heizlast'!$B$21,'Planungstool Heizlast'!$B$20/(15-'Planungstool Heizlast'!$B$9)*(15-Leistungsdaten!E113)+'Planungstool Heizlast'!$B$21))</f>
        <v>4.6148597854252174</v>
      </c>
      <c r="I113" s="1">
        <f>IF('Planungstool Heizlast'!$B$4="EU13L",Leistungsdaten!E113,IF('Planungstool Heizlast'!$B$4="EU08L",A113,""))</f>
        <v>-1.4830023156260801</v>
      </c>
      <c r="J113" s="1">
        <f>IF(OR('Planungstool Heizlast'!$B$10="Fußbodenheizung 35°C",'Planungstool Heizlast'!$B$10="Niedertemperaturheizkörper 45°C"),IF('Planungstool Heizlast'!$B$4="EU13L",Leistungsdaten!F113,IF('Planungstool Heizlast'!$B$4="EU08L",Leistungsdaten!B113,"")),IF('Planungstool Heizlast'!$B$4="EU13L",Leistungsdaten!F113,IF('Planungstool Heizlast'!$B$4="EU08L",Leistungsdaten!B113,""))*0.9)*'Planungstool Heizlast'!$B$5</f>
        <v>9.4244024114235305</v>
      </c>
      <c r="K113" s="1">
        <f>IF('Planungstool Heizlast'!$B$4="EU13L",Leistungsdaten!G113,IF('Planungstool Heizlast'!$B$4="EU08L",Leistungsdaten!C113,""))*$B$237</f>
        <v>6.6212291597710013</v>
      </c>
      <c r="L113" s="1">
        <f t="shared" si="2"/>
        <v>2.8031732516525292</v>
      </c>
    </row>
    <row r="114" spans="1:12" x14ac:dyDescent="0.25">
      <c r="A114">
        <v>-1.2611345847936399</v>
      </c>
      <c r="B114">
        <v>9.4614898021104707</v>
      </c>
      <c r="C114">
        <f>IF(A114&lt;'Planungstool Heizlast'!$B$9,'Planungstool Heizlast'!$B$22,IF(A114&gt;15,'Planungstool Heizlast'!$B$21,'Planungstool Heizlast'!$B$20/(15-'Planungstool Heizlast'!$B$9)*(15-Leistungsdaten!A114)+'Planungstool Heizlast'!$B$21))</f>
        <v>5.9528878982487736</v>
      </c>
      <c r="E114">
        <v>3.4527421610028002</v>
      </c>
      <c r="F114">
        <v>16.072257018028999</v>
      </c>
      <c r="G114">
        <f>IF(E114&lt;'Planungstool Heizlast'!$B$9,'Planungstool Heizlast'!$B$22,IF(E114&gt;15,'Planungstool Heizlast'!$B$21,'Planungstool Heizlast'!$B$20/(15-'Planungstool Heizlast'!$B$9)*(15-Leistungsdaten!E114)+'Planungstool Heizlast'!$B$21))</f>
        <v>4.5418901824432041</v>
      </c>
      <c r="I114" s="1">
        <f>IF('Planungstool Heizlast'!$B$4="EU13L",Leistungsdaten!E114,IF('Planungstool Heizlast'!$B$4="EU08L",A114,""))</f>
        <v>-1.2611345847936399</v>
      </c>
      <c r="J114" s="1">
        <f>IF(OR('Planungstool Heizlast'!$B$10="Fußbodenheizung 35°C",'Planungstool Heizlast'!$B$10="Niedertemperaturheizkörper 45°C"),IF('Planungstool Heizlast'!$B$4="EU13L",Leistungsdaten!F114,IF('Planungstool Heizlast'!$B$4="EU08L",Leistungsdaten!B114,"")),IF('Planungstool Heizlast'!$B$4="EU13L",Leistungsdaten!F114,IF('Planungstool Heizlast'!$B$4="EU08L",Leistungsdaten!B114,""))*0.9)*'Planungstool Heizlast'!$B$5</f>
        <v>9.4614898021104707</v>
      </c>
      <c r="K114" s="1">
        <f>IF('Planungstool Heizlast'!$B$4="EU13L",Leistungsdaten!G114,IF('Planungstool Heizlast'!$B$4="EU08L",Leistungsdaten!C114,""))*$B$237</f>
        <v>6.5481766880736512</v>
      </c>
      <c r="L114" s="1">
        <f t="shared" si="2"/>
        <v>2.9133131140368196</v>
      </c>
    </row>
    <row r="115" spans="1:12" x14ac:dyDescent="0.25">
      <c r="A115">
        <v>-1.0391877936946099</v>
      </c>
      <c r="B115">
        <v>9.4983081610182403</v>
      </c>
      <c r="C115">
        <f>IF(A115&lt;'Planungstool Heizlast'!$B$9,'Planungstool Heizlast'!$B$22,IF(A115&gt;15,'Planungstool Heizlast'!$B$21,'Planungstool Heizlast'!$B$20/(15-'Planungstool Heizlast'!$B$9)*(15-Leistungsdaten!A115)+'Planungstool Heizlast'!$B$21))</f>
        <v>5.8864528953500708</v>
      </c>
      <c r="E115">
        <v>3.6457114125804901</v>
      </c>
      <c r="F115">
        <v>16.149863052805099</v>
      </c>
      <c r="G115">
        <f>IF(E115&lt;'Planungstool Heizlast'!$B$9,'Planungstool Heizlast'!$B$22,IF(E115&gt;15,'Planungstool Heizlast'!$B$21,'Planungstool Heizlast'!$B$20/(15-'Planungstool Heizlast'!$B$9)*(15-Leistungsdaten!E115)+'Planungstool Heizlast'!$B$21))</f>
        <v>4.4841289833538074</v>
      </c>
      <c r="I115" s="1">
        <f>IF('Planungstool Heizlast'!$B$4="EU13L",Leistungsdaten!E115,IF('Planungstool Heizlast'!$B$4="EU08L",A115,""))</f>
        <v>-1.0391877936946099</v>
      </c>
      <c r="J115" s="1">
        <f>IF(OR('Planungstool Heizlast'!$B$10="Fußbodenheizung 35°C",'Planungstool Heizlast'!$B$10="Niedertemperaturheizkörper 45°C"),IF('Planungstool Heizlast'!$B$4="EU13L",Leistungsdaten!F115,IF('Planungstool Heizlast'!$B$4="EU08L",Leistungsdaten!B115,"")),IF('Planungstool Heizlast'!$B$4="EU13L",Leistungsdaten!F115,IF('Planungstool Heizlast'!$B$4="EU08L",Leistungsdaten!B115,""))*0.9)*'Planungstool Heizlast'!$B$5</f>
        <v>9.4983081610182403</v>
      </c>
      <c r="K115" s="1">
        <f>IF('Planungstool Heizlast'!$B$4="EU13L",Leistungsdaten!G115,IF('Planungstool Heizlast'!$B$4="EU08L",Leistungsdaten!C115,""))*$B$237</f>
        <v>6.4750981848850779</v>
      </c>
      <c r="L115" s="1">
        <f t="shared" si="2"/>
        <v>3.0232099761331623</v>
      </c>
    </row>
    <row r="116" spans="1:12" x14ac:dyDescent="0.25">
      <c r="A116">
        <v>-0.817163025081168</v>
      </c>
      <c r="B116">
        <v>9.5348478242950705</v>
      </c>
      <c r="C116">
        <f>IF(A116&lt;'Planungstool Heizlast'!$B$9,'Planungstool Heizlast'!$B$22,IF(A116&gt;15,'Planungstool Heizlast'!$B$21,'Planungstool Heizlast'!$B$20/(15-'Planungstool Heizlast'!$B$9)*(15-Leistungsdaten!A116)+'Planungstool Heizlast'!$B$21))</f>
        <v>5.8199945515579499</v>
      </c>
      <c r="E116">
        <v>3.8638162719894402</v>
      </c>
      <c r="F116">
        <v>16.285772989038101</v>
      </c>
      <c r="G116">
        <f>IF(E116&lt;'Planungstool Heizlast'!$B$9,'Planungstool Heizlast'!$B$22,IF(E116&gt;15,'Planungstool Heizlast'!$B$21,'Planungstool Heizlast'!$B$20/(15-'Planungstool Heizlast'!$B$9)*(15-Leistungsdaten!E116)+'Planungstool Heizlast'!$B$21))</f>
        <v>4.418843980154147</v>
      </c>
      <c r="I116" s="1">
        <f>IF('Planungstool Heizlast'!$B$4="EU13L",Leistungsdaten!E116,IF('Planungstool Heizlast'!$B$4="EU08L",A116,""))</f>
        <v>-0.817163025081168</v>
      </c>
      <c r="J116" s="1">
        <f>IF(OR('Planungstool Heizlast'!$B$10="Fußbodenheizung 35°C",'Planungstool Heizlast'!$B$10="Niedertemperaturheizkörper 45°C"),IF('Planungstool Heizlast'!$B$4="EU13L",Leistungsdaten!F116,IF('Planungstool Heizlast'!$B$4="EU08L",Leistungsdaten!B116,"")),IF('Planungstool Heizlast'!$B$4="EU13L",Leistungsdaten!F116,IF('Planungstool Heizlast'!$B$4="EU08L",Leistungsdaten!B116,""))*0.9)*'Planungstool Heizlast'!$B$5</f>
        <v>9.5348478242950705</v>
      </c>
      <c r="K116" s="1">
        <f>IF('Planungstool Heizlast'!$B$4="EU13L",Leistungsdaten!G116,IF('Planungstool Heizlast'!$B$4="EU08L",Leistungsdaten!C116,""))*$B$237</f>
        <v>6.4019940067137453</v>
      </c>
      <c r="L116" s="1">
        <f t="shared" si="2"/>
        <v>3.1328538175813252</v>
      </c>
    </row>
    <row r="117" spans="1:12" x14ac:dyDescent="0.25">
      <c r="A117">
        <v>-0.59506136403864396</v>
      </c>
      <c r="B117">
        <v>9.5710989824636101</v>
      </c>
      <c r="C117">
        <f>IF(A117&lt;'Planungstool Heizlast'!$B$9,'Planungstool Heizlast'!$B$22,IF(A117&gt;15,'Planungstool Heizlast'!$B$21,'Planungstool Heizlast'!$B$20/(15-'Planungstool Heizlast'!$B$9)*(15-Leistungsdaten!A117)+'Planungstool Heizlast'!$B$21))</f>
        <v>5.7535131916693869</v>
      </c>
      <c r="E117">
        <v>4.0561490877454203</v>
      </c>
      <c r="F117">
        <v>16.368227450027401</v>
      </c>
      <c r="G117">
        <f>IF(E117&lt;'Planungstool Heizlast'!$B$9,'Planungstool Heizlast'!$B$22,IF(E117&gt;15,'Planungstool Heizlast'!$B$21,'Planungstool Heizlast'!$B$20/(15-'Planungstool Heizlast'!$B$9)*(15-Leistungsdaten!E117)+'Planungstool Heizlast'!$B$21))</f>
        <v>4.3612732844527482</v>
      </c>
      <c r="I117" s="1">
        <f>IF('Planungstool Heizlast'!$B$4="EU13L",Leistungsdaten!E117,IF('Planungstool Heizlast'!$B$4="EU08L",A117,""))</f>
        <v>-0.59506136403864396</v>
      </c>
      <c r="J117" s="1">
        <f>IF(OR('Planungstool Heizlast'!$B$10="Fußbodenheizung 35°C",'Planungstool Heizlast'!$B$10="Niedertemperaturheizkörper 45°C"),IF('Planungstool Heizlast'!$B$4="EU13L",Leistungsdaten!F117,IF('Planungstool Heizlast'!$B$4="EU08L",Leistungsdaten!B117,"")),IF('Planungstool Heizlast'!$B$4="EU13L",Leistungsdaten!F117,IF('Planungstool Heizlast'!$B$4="EU08L",Leistungsdaten!B117,""))*0.9)*'Planungstool Heizlast'!$B$5</f>
        <v>9.5710989824636101</v>
      </c>
      <c r="K117" s="1">
        <f>IF('Planungstool Heizlast'!$B$4="EU13L",Leistungsdaten!G117,IF('Planungstool Heizlast'!$B$4="EU08L",Leistungsdaten!C117,""))*$B$237</f>
        <v>6.3288645108363264</v>
      </c>
      <c r="L117" s="1">
        <f t="shared" si="2"/>
        <v>3.2422344716272837</v>
      </c>
    </row>
    <row r="118" spans="1:12" x14ac:dyDescent="0.25">
      <c r="A118">
        <v>-0.37288389795569299</v>
      </c>
      <c r="B118">
        <v>9.6070516780752708</v>
      </c>
      <c r="C118">
        <f>IF(A118&lt;'Planungstool Heizlast'!$B$9,'Planungstool Heizlast'!$B$22,IF(A118&gt;15,'Planungstool Heizlast'!$B$21,'Planungstool Heizlast'!$B$20/(15-'Planungstool Heizlast'!$B$9)*(15-Leistungsdaten!A118)+'Planungstool Heizlast'!$B$21))</f>
        <v>5.6870091411708099</v>
      </c>
      <c r="E118">
        <v>4.2737890905940299</v>
      </c>
      <c r="F118">
        <v>16.510667903177101</v>
      </c>
      <c r="G118">
        <f>IF(E118&lt;'Planungstool Heizlast'!$B$9,'Planungstool Heizlast'!$B$22,IF(E118&gt;15,'Planungstool Heizlast'!$B$21,'Planungstool Heizlast'!$B$20/(15-'Planungstool Heizlast'!$B$9)*(15-Leistungsdaten!E118)+'Planungstool Heizlast'!$B$21))</f>
        <v>4.2961274260759579</v>
      </c>
      <c r="I118" s="1">
        <f>IF('Planungstool Heizlast'!$B$4="EU13L",Leistungsdaten!E118,IF('Planungstool Heizlast'!$B$4="EU08L",A118,""))</f>
        <v>-0.37288389795569299</v>
      </c>
      <c r="J118" s="1">
        <f>IF(OR('Planungstool Heizlast'!$B$10="Fußbodenheizung 35°C",'Planungstool Heizlast'!$B$10="Niedertemperaturheizkörper 45°C"),IF('Planungstool Heizlast'!$B$4="EU13L",Leistungsdaten!F118,IF('Planungstool Heizlast'!$B$4="EU08L",Leistungsdaten!B118,"")),IF('Planungstool Heizlast'!$B$4="EU13L",Leistungsdaten!F118,IF('Planungstool Heizlast'!$B$4="EU08L",Leistungsdaten!B118,""))*0.9)*'Planungstool Heizlast'!$B$5</f>
        <v>9.6070516780752708</v>
      </c>
      <c r="K118" s="1">
        <f>IF('Planungstool Heizlast'!$B$4="EU13L",Leistungsdaten!G118,IF('Planungstool Heizlast'!$B$4="EU08L",Leistungsdaten!C118,""))*$B$237</f>
        <v>6.2557100552878913</v>
      </c>
      <c r="L118" s="1">
        <f t="shared" si="2"/>
        <v>3.3513416227873796</v>
      </c>
    </row>
    <row r="119" spans="1:12" x14ac:dyDescent="0.25">
      <c r="A119">
        <v>-0.150631716496439</v>
      </c>
      <c r="B119">
        <v>9.6426958033311099</v>
      </c>
      <c r="C119">
        <f>IF(A119&lt;'Planungstool Heizlast'!$B$9,'Planungstool Heizlast'!$B$22,IF(A119&gt;15,'Planungstool Heizlast'!$B$21,'Planungstool Heizlast'!$B$20/(15-'Planungstool Heizlast'!$B$9)*(15-Leistungsdaten!A119)+'Planungstool Heizlast'!$B$21))</f>
        <v>5.6204827262297616</v>
      </c>
      <c r="E119">
        <v>4.4912428523342998</v>
      </c>
      <c r="F119">
        <v>16.656917376948599</v>
      </c>
      <c r="G119">
        <f>IF(E119&lt;'Planungstool Heizlast'!$B$9,'Planungstool Heizlast'!$B$22,IF(E119&gt;15,'Planungstool Heizlast'!$B$21,'Planungstool Heizlast'!$B$20/(15-'Planungstool Heizlast'!$B$9)*(15-Leistungsdaten!E119)+'Planungstool Heizlast'!$B$21))</f>
        <v>4.2310373149731468</v>
      </c>
      <c r="I119" s="1">
        <f>IF('Planungstool Heizlast'!$B$4="EU13L",Leistungsdaten!E119,IF('Planungstool Heizlast'!$B$4="EU08L",A119,""))</f>
        <v>-0.150631716496439</v>
      </c>
      <c r="J119" s="1">
        <f>IF(OR('Planungstool Heizlast'!$B$10="Fußbodenheizung 35°C",'Planungstool Heizlast'!$B$10="Niedertemperaturheizkörper 45°C"),IF('Planungstool Heizlast'!$B$4="EU13L",Leistungsdaten!F119,IF('Planungstool Heizlast'!$B$4="EU08L",Leistungsdaten!B119,"")),IF('Planungstool Heizlast'!$B$4="EU13L",Leistungsdaten!F119,IF('Planungstool Heizlast'!$B$4="EU08L",Leistungsdaten!B119,""))*0.9)*'Planungstool Heizlast'!$B$5</f>
        <v>9.6426958033311099</v>
      </c>
      <c r="K119" s="1">
        <f>IF('Planungstool Heizlast'!$B$4="EU13L",Leistungsdaten!G119,IF('Planungstool Heizlast'!$B$4="EU08L",Leistungsdaten!C119,""))*$B$237</f>
        <v>6.1825309988527382</v>
      </c>
      <c r="L119" s="1">
        <f t="shared" si="2"/>
        <v>3.4601648044783717</v>
      </c>
    </row>
    <row r="120" spans="1:12" x14ac:dyDescent="0.25">
      <c r="A120">
        <v>7.1694088425373406E-2</v>
      </c>
      <c r="B120">
        <v>9.7003726411231508</v>
      </c>
      <c r="C120">
        <f>IF(A120&lt;'Planungstool Heizlast'!$B$9,'Planungstool Heizlast'!$B$22,IF(A120&gt;15,'Planungstool Heizlast'!$B$21,'Planungstool Heizlast'!$B$20/(15-'Planungstool Heizlast'!$B$9)*(15-Leistungsdaten!A120)+'Planungstool Heizlast'!$B$21))</f>
        <v>5.5539342736871591</v>
      </c>
      <c r="E120">
        <v>4.6826383981214503</v>
      </c>
      <c r="F120">
        <v>16.747369052505999</v>
      </c>
      <c r="G120">
        <f>IF(E120&lt;'Planungstool Heizlast'!$B$9,'Planungstool Heizlast'!$B$22,IF(E120&gt;15,'Planungstool Heizlast'!$B$21,'Planungstool Heizlast'!$B$20/(15-'Planungstool Heizlast'!$B$9)*(15-Leistungsdaten!E120)+'Planungstool Heizlast'!$B$21))</f>
        <v>4.1737471708976024</v>
      </c>
      <c r="I120" s="1">
        <f>IF('Planungstool Heizlast'!$B$4="EU13L",Leistungsdaten!E120,IF('Planungstool Heizlast'!$B$4="EU08L",A120,""))</f>
        <v>7.1694088425373406E-2</v>
      </c>
      <c r="J120" s="1">
        <f>IF(OR('Planungstool Heizlast'!$B$10="Fußbodenheizung 35°C",'Planungstool Heizlast'!$B$10="Niedertemperaturheizkörper 45°C"),IF('Planungstool Heizlast'!$B$4="EU13L",Leistungsdaten!F120,IF('Planungstool Heizlast'!$B$4="EU08L",Leistungsdaten!B120,"")),IF('Planungstool Heizlast'!$B$4="EU13L",Leistungsdaten!F120,IF('Planungstool Heizlast'!$B$4="EU08L",Leistungsdaten!B120,""))*0.9)*'Planungstool Heizlast'!$B$5</f>
        <v>9.7003726411231508</v>
      </c>
      <c r="K120" s="1">
        <f>IF('Planungstool Heizlast'!$B$4="EU13L",Leistungsdaten!G120,IF('Planungstool Heizlast'!$B$4="EU08L",Leistungsdaten!C120,""))*$B$237</f>
        <v>6.1093277010558751</v>
      </c>
      <c r="L120" s="1">
        <f t="shared" si="2"/>
        <v>3.5910449400672757</v>
      </c>
    </row>
    <row r="121" spans="1:12" x14ac:dyDescent="0.25">
      <c r="A121">
        <v>0.30607267901535401</v>
      </c>
      <c r="B121">
        <v>9.8043436740534506</v>
      </c>
      <c r="C121">
        <f>IF(A121&lt;'Planungstool Heizlast'!$B$9,'Planungstool Heizlast'!$B$22,IF(A121&gt;15,'Planungstool Heizlast'!$B$21,'Planungstool Heizlast'!$B$20/(15-'Planungstool Heizlast'!$B$9)*(15-Leistungsdaten!A121)+'Planungstool Heizlast'!$B$21))</f>
        <v>5.4837780787354991</v>
      </c>
      <c r="E121">
        <v>4.8996132056392598</v>
      </c>
      <c r="F121">
        <v>16.8585291946466</v>
      </c>
      <c r="G121">
        <f>IF(E121&lt;'Planungstool Heizlast'!$B$9,'Planungstool Heizlast'!$B$22,IF(E121&gt;15,'Planungstool Heizlast'!$B$21,'Planungstool Heizlast'!$B$20/(15-'Planungstool Heizlast'!$B$9)*(15-Leistungsdaten!E121)+'Planungstool Heizlast'!$B$21))</f>
        <v>4.108800424449897</v>
      </c>
      <c r="I121" s="1">
        <f>IF('Planungstool Heizlast'!$B$4="EU13L",Leistungsdaten!E121,IF('Planungstool Heizlast'!$B$4="EU08L",A121,""))</f>
        <v>0.30607267901535401</v>
      </c>
      <c r="J121" s="1">
        <f>IF(OR('Planungstool Heizlast'!$B$10="Fußbodenheizung 35°C",'Planungstool Heizlast'!$B$10="Niedertemperaturheizkörper 45°C"),IF('Planungstool Heizlast'!$B$4="EU13L",Leistungsdaten!F121,IF('Planungstool Heizlast'!$B$4="EU08L",Leistungsdaten!B121,"")),IF('Planungstool Heizlast'!$B$4="EU13L",Leistungsdaten!F121,IF('Planungstool Heizlast'!$B$4="EU08L",Leistungsdaten!B121,""))*0.9)*'Planungstool Heizlast'!$B$5</f>
        <v>9.8043436740534506</v>
      </c>
      <c r="K121" s="1">
        <f>IF('Planungstool Heizlast'!$B$4="EU13L",Leistungsdaten!G121,IF('Planungstool Heizlast'!$B$4="EU08L",Leistungsdaten!C121,""))*$B$237</f>
        <v>6.0321558866090497</v>
      </c>
      <c r="L121" s="1">
        <f t="shared" si="2"/>
        <v>3.772187787444401</v>
      </c>
    </row>
    <row r="122" spans="1:12" x14ac:dyDescent="0.25">
      <c r="A122">
        <v>0.51058467600942303</v>
      </c>
      <c r="B122">
        <v>9.8480932222774893</v>
      </c>
      <c r="C122">
        <f>IF(A122&lt;'Planungstool Heizlast'!$B$9,'Planungstool Heizlast'!$B$22,IF(A122&gt;15,'Planungstool Heizlast'!$B$21,'Planungstool Heizlast'!$B$20/(15-'Planungstool Heizlast'!$B$9)*(15-Leistungsdaten!A122)+'Planungstool Heizlast'!$B$21))</f>
        <v>5.4225618068270762</v>
      </c>
      <c r="E122">
        <v>5.09034253351102</v>
      </c>
      <c r="F122">
        <v>16.823243077975</v>
      </c>
      <c r="G122">
        <f>IF(E122&lt;'Planungstool Heizlast'!$B$9,'Planungstool Heizlast'!$B$22,IF(E122&gt;15,'Planungstool Heizlast'!$B$21,'Planungstool Heizlast'!$B$20/(15-'Planungstool Heizlast'!$B$9)*(15-Leistungsdaten!E122)+'Planungstool Heizlast'!$B$21))</f>
        <v>4.0517096983921626</v>
      </c>
      <c r="I122" s="1">
        <f>IF('Planungstool Heizlast'!$B$4="EU13L",Leistungsdaten!E122,IF('Planungstool Heizlast'!$B$4="EU08L",A122,""))</f>
        <v>0.51058467600942303</v>
      </c>
      <c r="J122" s="1">
        <f>IF(OR('Planungstool Heizlast'!$B$10="Fußbodenheizung 35°C",'Planungstool Heizlast'!$B$10="Niedertemperaturheizkörper 45°C"),IF('Planungstool Heizlast'!$B$4="EU13L",Leistungsdaten!F122,IF('Planungstool Heizlast'!$B$4="EU08L",Leistungsdaten!B122,"")),IF('Planungstool Heizlast'!$B$4="EU13L",Leistungsdaten!F122,IF('Planungstool Heizlast'!$B$4="EU08L",Leistungsdaten!B122,""))*0.9)*'Planungstool Heizlast'!$B$5</f>
        <v>9.8480932222774893</v>
      </c>
      <c r="K122" s="1">
        <f>IF('Planungstool Heizlast'!$B$4="EU13L",Leistungsdaten!G122,IF('Planungstool Heizlast'!$B$4="EU08L",Leistungsdaten!C122,""))*$B$237</f>
        <v>5.9648179875097842</v>
      </c>
      <c r="L122" s="1">
        <f t="shared" si="2"/>
        <v>3.8832752347677051</v>
      </c>
    </row>
    <row r="123" spans="1:12" x14ac:dyDescent="0.25">
      <c r="A123">
        <v>0.73013595822380495</v>
      </c>
      <c r="B123">
        <v>9.9246145041422391</v>
      </c>
      <c r="C123">
        <f>IF(A123&lt;'Planungstool Heizlast'!$B$9,'Planungstool Heizlast'!$B$22,IF(A123&gt;15,'Planungstool Heizlast'!$B$21,'Planungstool Heizlast'!$B$20/(15-'Planungstool Heizlast'!$B$9)*(15-Leistungsdaten!A123)+'Planungstool Heizlast'!$B$21))</f>
        <v>5.3568438480401976</v>
      </c>
      <c r="E123">
        <v>5.30682896393383</v>
      </c>
      <c r="F123">
        <v>16.840563998177299</v>
      </c>
      <c r="G123">
        <f>IF(E123&lt;'Planungstool Heizlast'!$B$9,'Planungstool Heizlast'!$B$22,IF(E123&gt;15,'Planungstool Heizlast'!$B$21,'Planungstool Heizlast'!$B$20/(15-'Planungstool Heizlast'!$B$9)*(15-Leistungsdaten!E123)+'Planungstool Heizlast'!$B$21))</f>
        <v>3.9869091371339844</v>
      </c>
      <c r="I123" s="1">
        <f>IF('Planungstool Heizlast'!$B$4="EU13L",Leistungsdaten!E123,IF('Planungstool Heizlast'!$B$4="EU08L",A123,""))</f>
        <v>0.73013595822380495</v>
      </c>
      <c r="J123" s="1">
        <f>IF(OR('Planungstool Heizlast'!$B$10="Fußbodenheizung 35°C",'Planungstool Heizlast'!$B$10="Niedertemperaturheizkörper 45°C"),IF('Planungstool Heizlast'!$B$4="EU13L",Leistungsdaten!F123,IF('Planungstool Heizlast'!$B$4="EU08L",Leistungsdaten!B123,"")),IF('Planungstool Heizlast'!$B$4="EU13L",Leistungsdaten!F123,IF('Planungstool Heizlast'!$B$4="EU08L",Leistungsdaten!B123,""))*0.9)*'Planungstool Heizlast'!$B$5</f>
        <v>9.9246145041422391</v>
      </c>
      <c r="K123" s="1">
        <f>IF('Planungstool Heizlast'!$B$4="EU13L",Leistungsdaten!G123,IF('Planungstool Heizlast'!$B$4="EU08L",Leistungsdaten!C123,""))*$B$237</f>
        <v>5.8925282328442181</v>
      </c>
      <c r="L123" s="1">
        <f t="shared" si="2"/>
        <v>4.032086271298021</v>
      </c>
    </row>
    <row r="124" spans="1:12" x14ac:dyDescent="0.25">
      <c r="A124">
        <v>0.933905232783107</v>
      </c>
      <c r="B124">
        <v>9.9708110952853293</v>
      </c>
      <c r="C124">
        <f>IF(A124&lt;'Planungstool Heizlast'!$B$9,'Planungstool Heizlast'!$B$22,IF(A124&gt;15,'Planungstool Heizlast'!$B$21,'Planungstool Heizlast'!$B$20/(15-'Planungstool Heizlast'!$B$9)*(15-Leistungsdaten!A124)+'Planungstool Heizlast'!$B$21))</f>
        <v>5.2958498941335908</v>
      </c>
      <c r="E124">
        <v>5.5231187128124803</v>
      </c>
      <c r="F124">
        <v>16.857480119991202</v>
      </c>
      <c r="G124">
        <f>IF(E124&lt;'Planungstool Heizlast'!$B$9,'Planungstool Heizlast'!$B$22,IF(E124&gt;15,'Planungstool Heizlast'!$B$21,'Planungstool Heizlast'!$B$20/(15-'Planungstool Heizlast'!$B$9)*(15-Leistungsdaten!E124)+'Planungstool Heizlast'!$B$21))</f>
        <v>3.9221674482699131</v>
      </c>
      <c r="I124" s="1">
        <f>IF('Planungstool Heizlast'!$B$4="EU13L",Leistungsdaten!E124,IF('Planungstool Heizlast'!$B$4="EU08L",A124,""))</f>
        <v>0.933905232783107</v>
      </c>
      <c r="J124" s="1">
        <f>IF(OR('Planungstool Heizlast'!$B$10="Fußbodenheizung 35°C",'Planungstool Heizlast'!$B$10="Niedertemperaturheizkörper 45°C"),IF('Planungstool Heizlast'!$B$4="EU13L",Leistungsdaten!F124,IF('Planungstool Heizlast'!$B$4="EU08L",Leistungsdaten!B124,"")),IF('Planungstool Heizlast'!$B$4="EU13L",Leistungsdaten!F124,IF('Planungstool Heizlast'!$B$4="EU08L",Leistungsdaten!B124,""))*0.9)*'Planungstool Heizlast'!$B$5</f>
        <v>9.9708110952853293</v>
      </c>
      <c r="K124" s="1">
        <f>IF('Planungstool Heizlast'!$B$4="EU13L",Leistungsdaten!G124,IF('Planungstool Heizlast'!$B$4="EU08L",Leistungsdaten!C124,""))*$B$237</f>
        <v>5.8254348835469507</v>
      </c>
      <c r="L124" s="1">
        <f t="shared" si="2"/>
        <v>4.1453762117383786</v>
      </c>
    </row>
    <row r="125" spans="1:12" x14ac:dyDescent="0.25">
      <c r="A125">
        <v>1.15296879717588</v>
      </c>
      <c r="B125">
        <v>10.050698049504399</v>
      </c>
      <c r="C125">
        <f>IF(A125&lt;'Planungstool Heizlast'!$B$9,'Planungstool Heizlast'!$B$22,IF(A125&gt;15,'Planungstool Heizlast'!$B$21,'Planungstool Heizlast'!$B$20/(15-'Planungstool Heizlast'!$B$9)*(15-Leistungsdaten!A125)+'Planungstool Heizlast'!$B$21))</f>
        <v>5.2302779231969163</v>
      </c>
      <c r="E125">
        <v>5.7128692690234599</v>
      </c>
      <c r="F125">
        <v>16.820260089486201</v>
      </c>
      <c r="G125">
        <f>IF(E125&lt;'Planungstool Heizlast'!$B$9,'Planungstool Heizlast'!$B$22,IF(E125&gt;15,'Planungstool Heizlast'!$B$21,'Planungstool Heizlast'!$B$20/(15-'Planungstool Heizlast'!$B$9)*(15-Leistungsdaten!E125)+'Planungstool Heizlast'!$B$21))</f>
        <v>3.8653696964777637</v>
      </c>
      <c r="I125" s="1">
        <f>IF('Planungstool Heizlast'!$B$4="EU13L",Leistungsdaten!E125,IF('Planungstool Heizlast'!$B$4="EU08L",A125,""))</f>
        <v>1.15296879717588</v>
      </c>
      <c r="J125" s="1">
        <f>IF(OR('Planungstool Heizlast'!$B$10="Fußbodenheizung 35°C",'Planungstool Heizlast'!$B$10="Niedertemperaturheizkörper 45°C"),IF('Planungstool Heizlast'!$B$4="EU13L",Leistungsdaten!F125,IF('Planungstool Heizlast'!$B$4="EU08L",Leistungsdaten!B125,"")),IF('Planungstool Heizlast'!$B$4="EU13L",Leistungsdaten!F125,IF('Planungstool Heizlast'!$B$4="EU08L",Leistungsdaten!B125,""))*0.9)*'Planungstool Heizlast'!$B$5</f>
        <v>10.050698049504399</v>
      </c>
      <c r="K125" s="1">
        <f>IF('Planungstool Heizlast'!$B$4="EU13L",Leistungsdaten!G125,IF('Planungstool Heizlast'!$B$4="EU08L",Leistungsdaten!C125,""))*$B$237</f>
        <v>5.7533057155166087</v>
      </c>
      <c r="L125" s="1">
        <f t="shared" si="2"/>
        <v>4.2973923339877906</v>
      </c>
    </row>
    <row r="126" spans="1:12" x14ac:dyDescent="0.25">
      <c r="A126">
        <v>1.37185063095899</v>
      </c>
      <c r="B126">
        <v>10.1325589163408</v>
      </c>
      <c r="C126">
        <f>IF(A126&lt;'Planungstool Heizlast'!$B$9,'Planungstool Heizlast'!$B$22,IF(A126&gt;15,'Planungstool Heizlast'!$B$21,'Planungstool Heizlast'!$B$20/(15-'Planungstool Heizlast'!$B$9)*(15-Leistungsdaten!A126)+'Planungstool Heizlast'!$B$21))</f>
        <v>5.1647603494133616</v>
      </c>
      <c r="E126">
        <v>5.9286573982735202</v>
      </c>
      <c r="F126">
        <v>16.836170089905298</v>
      </c>
      <c r="G126">
        <f>IF(E126&lt;'Planungstool Heizlast'!$B$9,'Planungstool Heizlast'!$B$22,IF(E126&gt;15,'Planungstool Heizlast'!$B$21,'Planungstool Heizlast'!$B$20/(15-'Planungstool Heizlast'!$B$9)*(15-Leistungsdaten!E126)+'Planungstool Heizlast'!$B$21))</f>
        <v>3.8007781566711056</v>
      </c>
      <c r="I126" s="1">
        <f>IF('Planungstool Heizlast'!$B$4="EU13L",Leistungsdaten!E126,IF('Planungstool Heizlast'!$B$4="EU08L",A126,""))</f>
        <v>1.37185063095899</v>
      </c>
      <c r="J126" s="1">
        <f>IF(OR('Planungstool Heizlast'!$B$10="Fußbodenheizung 35°C",'Planungstool Heizlast'!$B$10="Niedertemperaturheizkörper 45°C"),IF('Planungstool Heizlast'!$B$4="EU13L",Leistungsdaten!F126,IF('Planungstool Heizlast'!$B$4="EU08L",Leistungsdaten!B126,"")),IF('Planungstool Heizlast'!$B$4="EU13L",Leistungsdaten!F126,IF('Planungstool Heizlast'!$B$4="EU08L",Leistungsdaten!B126,""))*0.9)*'Planungstool Heizlast'!$B$5</f>
        <v>10.1325589163408</v>
      </c>
      <c r="K126" s="1">
        <f>IF('Planungstool Heizlast'!$B$4="EU13L",Leistungsdaten!G126,IF('Planungstool Heizlast'!$B$4="EU08L",Leistungsdaten!C126,""))*$B$237</f>
        <v>5.6812363843546985</v>
      </c>
      <c r="L126" s="1">
        <f t="shared" si="2"/>
        <v>4.4513225319861016</v>
      </c>
    </row>
    <row r="127" spans="1:12" x14ac:dyDescent="0.25">
      <c r="A127">
        <v>1.57455909675985</v>
      </c>
      <c r="B127">
        <v>10.182859544579101</v>
      </c>
      <c r="C127">
        <f>IF(A127&lt;'Planungstool Heizlast'!$B$9,'Planungstool Heizlast'!$B$22,IF(A127&gt;15,'Planungstool Heizlast'!$B$21,'Planungstool Heizlast'!$B$20/(15-'Planungstool Heizlast'!$B$9)*(15-Leistungsdaten!A127)+'Planungstool Heizlast'!$B$21))</f>
        <v>5.1040839258147761</v>
      </c>
      <c r="E127">
        <v>6.1177138210020496</v>
      </c>
      <c r="F127">
        <v>16.797600836860099</v>
      </c>
      <c r="G127">
        <f>IF(E127&lt;'Planungstool Heizlast'!$B$9,'Planungstool Heizlast'!$B$22,IF(E127&gt;15,'Planungstool Heizlast'!$B$21,'Planungstool Heizlast'!$B$20/(15-'Planungstool Heizlast'!$B$9)*(15-Leistungsdaten!E127)+'Planungstool Heizlast'!$B$21))</f>
        <v>3.744188178821938</v>
      </c>
      <c r="I127" s="1">
        <f>IF('Planungstool Heizlast'!$B$4="EU13L",Leistungsdaten!E127,IF('Planungstool Heizlast'!$B$4="EU08L",A127,""))</f>
        <v>1.57455909675985</v>
      </c>
      <c r="J127" s="1">
        <f>IF(OR('Planungstool Heizlast'!$B$10="Fußbodenheizung 35°C",'Planungstool Heizlast'!$B$10="Niedertemperaturheizkörper 45°C"),IF('Planungstool Heizlast'!$B$4="EU13L",Leistungsdaten!F127,IF('Planungstool Heizlast'!$B$4="EU08L",Leistungsdaten!B127,"")),IF('Planungstool Heizlast'!$B$4="EU13L",Leistungsdaten!F127,IF('Planungstool Heizlast'!$B$4="EU08L",Leistungsdaten!B127,""))*0.9)*'Planungstool Heizlast'!$B$5</f>
        <v>10.182859544579101</v>
      </c>
      <c r="K127" s="1">
        <f>IF('Planungstool Heizlast'!$B$4="EU13L",Leistungsdaten!G127,IF('Planungstool Heizlast'!$B$4="EU08L",Leistungsdaten!C127,""))*$B$237</f>
        <v>5.6144923183962545</v>
      </c>
      <c r="L127" s="1">
        <f t="shared" si="2"/>
        <v>4.5683672261828461</v>
      </c>
    </row>
    <row r="128" spans="1:12" x14ac:dyDescent="0.25">
      <c r="A128">
        <v>1.79294344496271</v>
      </c>
      <c r="B128">
        <v>10.2683300865096</v>
      </c>
      <c r="C128">
        <f>IF(A128&lt;'Planungstool Heizlast'!$B$9,'Planungstool Heizlast'!$B$22,IF(A128&gt;15,'Planungstool Heizlast'!$B$21,'Planungstool Heizlast'!$B$20/(15-'Planungstool Heizlast'!$B$9)*(15-Leistungsdaten!A128)+'Planungstool Heizlast'!$B$21))</f>
        <v>5.0387152636500936</v>
      </c>
      <c r="E128">
        <v>6.3329915043825</v>
      </c>
      <c r="F128">
        <v>16.812496969777602</v>
      </c>
      <c r="G128">
        <f>IF(E128&lt;'Planungstool Heizlast'!$B$9,'Planungstool Heizlast'!$B$22,IF(E128&gt;15,'Planungstool Heizlast'!$B$21,'Planungstool Heizlast'!$B$20/(15-'Planungstool Heizlast'!$B$9)*(15-Leistungsdaten!E128)+'Planungstool Heizlast'!$B$21))</f>
        <v>3.6797494300182909</v>
      </c>
      <c r="I128" s="1">
        <f>IF('Planungstool Heizlast'!$B$4="EU13L",Leistungsdaten!E128,IF('Planungstool Heizlast'!$B$4="EU08L",A128,""))</f>
        <v>1.79294344496271</v>
      </c>
      <c r="J128" s="1">
        <f>IF(OR('Planungstool Heizlast'!$B$10="Fußbodenheizung 35°C",'Planungstool Heizlast'!$B$10="Niedertemperaturheizkörper 45°C"),IF('Planungstool Heizlast'!$B$4="EU13L",Leistungsdaten!F128,IF('Planungstool Heizlast'!$B$4="EU08L",Leistungsdaten!B128,"")),IF('Planungstool Heizlast'!$B$4="EU13L",Leistungsdaten!F128,IF('Planungstool Heizlast'!$B$4="EU08L",Leistungsdaten!B128,""))*0.9)*'Planungstool Heizlast'!$B$5</f>
        <v>10.2683300865096</v>
      </c>
      <c r="K128" s="1">
        <f>IF('Planungstool Heizlast'!$B$4="EU13L",Leistungsdaten!G128,IF('Planungstool Heizlast'!$B$4="EU08L",Leistungsdaten!C128,""))*$B$237</f>
        <v>5.5425867900151031</v>
      </c>
      <c r="L128" s="1">
        <f t="shared" si="2"/>
        <v>4.725743296494497</v>
      </c>
    </row>
    <row r="129" spans="1:12" x14ac:dyDescent="0.25">
      <c r="A129">
        <v>1.99489519821474</v>
      </c>
      <c r="B129">
        <v>10.3213675436527</v>
      </c>
      <c r="C129">
        <f>IF(A129&lt;'Planungstool Heizlast'!$B$9,'Planungstool Heizlast'!$B$22,IF(A129&gt;15,'Planungstool Heizlast'!$B$21,'Planungstool Heizlast'!$B$20/(15-'Planungstool Heizlast'!$B$9)*(15-Leistungsdaten!A129)+'Planungstool Heizlast'!$B$21))</f>
        <v>4.9782653456933605</v>
      </c>
      <c r="E129">
        <v>6.54806269417909</v>
      </c>
      <c r="F129">
        <v>16.826978696007199</v>
      </c>
      <c r="G129">
        <f>IF(E129&lt;'Planungstool Heizlast'!$B$9,'Planungstool Heizlast'!$B$22,IF(E129&gt;15,'Planungstool Heizlast'!$B$21,'Planungstool Heizlast'!$B$20/(15-'Planungstool Heizlast'!$B$9)*(15-Leistungsdaten!E129)+'Planungstool Heizlast'!$B$21))</f>
        <v>3.6153724906320015</v>
      </c>
      <c r="I129" s="1">
        <f>IF('Planungstool Heizlast'!$B$4="EU13L",Leistungsdaten!E129,IF('Planungstool Heizlast'!$B$4="EU08L",A129,""))</f>
        <v>1.99489519821474</v>
      </c>
      <c r="J129" s="1">
        <f>IF(OR('Planungstool Heizlast'!$B$10="Fußbodenheizung 35°C",'Planungstool Heizlast'!$B$10="Niedertemperaturheizkörper 45°C"),IF('Planungstool Heizlast'!$B$4="EU13L",Leistungsdaten!F129,IF('Planungstool Heizlast'!$B$4="EU08L",Leistungsdaten!B129,"")),IF('Planungstool Heizlast'!$B$4="EU13L",Leistungsdaten!F129,IF('Planungstool Heizlast'!$B$4="EU08L",Leistungsdaten!B129,""))*0.9)*'Planungstool Heizlast'!$B$5</f>
        <v>10.3213675436527</v>
      </c>
      <c r="K129" s="1">
        <f>IF('Planungstool Heizlast'!$B$4="EU13L",Leistungsdaten!G129,IF('Planungstool Heizlast'!$B$4="EU08L",Leistungsdaten!C129,""))*$B$237</f>
        <v>5.4760918802626968</v>
      </c>
      <c r="L129" s="1">
        <f t="shared" si="2"/>
        <v>4.8452756633900034</v>
      </c>
    </row>
    <row r="130" spans="1:12" x14ac:dyDescent="0.25">
      <c r="A130">
        <v>2.21277589514002</v>
      </c>
      <c r="B130">
        <v>10.4106065336625</v>
      </c>
      <c r="C130">
        <f>IF(A130&lt;'Planungstool Heizlast'!$B$9,'Planungstool Heizlast'!$B$22,IF(A130&gt;15,'Planungstool Heizlast'!$B$21,'Planungstool Heizlast'!$B$20/(15-'Planungstool Heizlast'!$B$9)*(15-Leistungsdaten!A130)+'Planungstool Heizlast'!$B$21))</f>
        <v>4.9130474407165625</v>
      </c>
      <c r="E130">
        <v>6.7361015351102296</v>
      </c>
      <c r="F130">
        <v>16.7864453475086</v>
      </c>
      <c r="G130">
        <f>IF(E130&lt;'Planungstool Heizlast'!$B$9,'Planungstool Heizlast'!$B$22,IF(E130&gt;15,'Planungstool Heizlast'!$B$21,'Planungstool Heizlast'!$B$20/(15-'Planungstool Heizlast'!$B$9)*(15-Leistungsdaten!E130)+'Planungstool Heizlast'!$B$21))</f>
        <v>3.5590871040288916</v>
      </c>
      <c r="I130" s="1">
        <f>IF('Planungstool Heizlast'!$B$4="EU13L",Leistungsdaten!E130,IF('Planungstool Heizlast'!$B$4="EU08L",A130,""))</f>
        <v>2.21277589514002</v>
      </c>
      <c r="J130" s="1">
        <f>IF(OR('Planungstool Heizlast'!$B$10="Fußbodenheizung 35°C",'Planungstool Heizlast'!$B$10="Niedertemperaturheizkörper 45°C"),IF('Planungstool Heizlast'!$B$4="EU13L",Leistungsdaten!F130,IF('Planungstool Heizlast'!$B$4="EU08L",Leistungsdaten!B130,"")),IF('Planungstool Heizlast'!$B$4="EU13L",Leistungsdaten!F130,IF('Planungstool Heizlast'!$B$4="EU08L",Leistungsdaten!B130,""))*0.9)*'Planungstool Heizlast'!$B$5</f>
        <v>10.4106065336625</v>
      </c>
      <c r="K130" s="1">
        <f>IF('Planungstool Heizlast'!$B$4="EU13L",Leistungsdaten!G130,IF('Planungstool Heizlast'!$B$4="EU08L",Leistungsdaten!C130,""))*$B$237</f>
        <v>5.4043521847882188</v>
      </c>
      <c r="L130" s="1">
        <f t="shared" si="2"/>
        <v>5.0062543488742817</v>
      </c>
    </row>
    <row r="131" spans="1:12" x14ac:dyDescent="0.25">
      <c r="A131">
        <v>2.4304667191618599</v>
      </c>
      <c r="B131">
        <v>10.5020546633815</v>
      </c>
      <c r="C131">
        <f>IF(A131&lt;'Planungstool Heizlast'!$B$9,'Planungstool Heizlast'!$B$22,IF(A131&gt;15,'Planungstool Heizlast'!$B$21,'Planungstool Heizlast'!$B$20/(15-'Planungstool Heizlast'!$B$9)*(15-Leistungsdaten!A131)+'Planungstool Heizlast'!$B$21))</f>
        <v>4.847886370113569</v>
      </c>
      <c r="E131">
        <v>6.9506498923553002</v>
      </c>
      <c r="F131">
        <v>16.7999022700468</v>
      </c>
      <c r="G131">
        <f>IF(E131&lt;'Planungstool Heizlast'!$B$9,'Planungstool Heizlast'!$B$22,IF(E131&gt;15,'Planungstool Heizlast'!$B$21,'Planungstool Heizlast'!$B$20/(15-'Planungstool Heizlast'!$B$9)*(15-Leistungsdaten!E131)+'Planungstool Heizlast'!$B$21))</f>
        <v>3.4948666633326879</v>
      </c>
      <c r="I131" s="1">
        <f>IF('Planungstool Heizlast'!$B$4="EU13L",Leistungsdaten!E131,IF('Planungstool Heizlast'!$B$4="EU08L",A131,""))</f>
        <v>2.4304667191618599</v>
      </c>
      <c r="J131" s="1">
        <f>IF(OR('Planungstool Heizlast'!$B$10="Fußbodenheizung 35°C",'Planungstool Heizlast'!$B$10="Niedertemperaturheizkörper 45°C"),IF('Planungstool Heizlast'!$B$4="EU13L",Leistungsdaten!F131,IF('Planungstool Heizlast'!$B$4="EU08L",Leistungsdaten!B131,"")),IF('Planungstool Heizlast'!$B$4="EU13L",Leistungsdaten!F131,IF('Planungstool Heizlast'!$B$4="EU08L",Leistungsdaten!B131,""))*0.9)*'Planungstool Heizlast'!$B$5</f>
        <v>10.5020546633815</v>
      </c>
      <c r="K131" s="1">
        <f>IF('Planungstool Heizlast'!$B$4="EU13L",Leistungsdaten!G131,IF('Planungstool Heizlast'!$B$4="EU08L",Leistungsdaten!C131,""))*$B$237</f>
        <v>5.3326750071249265</v>
      </c>
      <c r="L131" s="1">
        <f t="shared" si="2"/>
        <v>5.1693796562565737</v>
      </c>
    </row>
    <row r="132" spans="1:12" x14ac:dyDescent="0.25">
      <c r="A132">
        <v>2.63133696759916</v>
      </c>
      <c r="B132">
        <v>10.5596623427514</v>
      </c>
      <c r="C132">
        <f>IF(A132&lt;'Planungstool Heizlast'!$B$9,'Planungstool Heizlast'!$B$22,IF(A132&gt;15,'Planungstool Heizlast'!$B$21,'Planungstool Heizlast'!$B$20/(15-'Planungstool Heizlast'!$B$9)*(15-Leistungsdaten!A132)+'Planungstool Heizlast'!$B$21))</f>
        <v>4.787760177384607</v>
      </c>
      <c r="E132">
        <v>7.1379685535836597</v>
      </c>
      <c r="F132">
        <v>16.758000659330499</v>
      </c>
      <c r="G132">
        <f>IF(E132&lt;'Planungstool Heizlast'!$B$9,'Planungstool Heizlast'!$B$22,IF(E132&gt;15,'Planungstool Heizlast'!$B$21,'Planungstool Heizlast'!$B$20/(15-'Planungstool Heizlast'!$B$9)*(15-Leistungsdaten!E132)+'Planungstool Heizlast'!$B$21))</f>
        <v>3.4387968470489545</v>
      </c>
      <c r="I132" s="1">
        <f>IF('Planungstool Heizlast'!$B$4="EU13L",Leistungsdaten!E132,IF('Planungstool Heizlast'!$B$4="EU08L",A132,""))</f>
        <v>2.63133696759916</v>
      </c>
      <c r="J132" s="1">
        <f>IF(OR('Planungstool Heizlast'!$B$10="Fußbodenheizung 35°C",'Planungstool Heizlast'!$B$10="Niedertemperaturheizkörper 45°C"),IF('Planungstool Heizlast'!$B$4="EU13L",Leistungsdaten!F132,IF('Planungstool Heizlast'!$B$4="EU08L",Leistungsdaten!B132,"")),IF('Planungstool Heizlast'!$B$4="EU13L",Leistungsdaten!F132,IF('Planungstool Heizlast'!$B$4="EU08L",Leistungsdaten!B132,""))*0.9)*'Planungstool Heizlast'!$B$5</f>
        <v>10.5596623427514</v>
      </c>
      <c r="K132" s="1">
        <f>IF('Planungstool Heizlast'!$B$4="EU13L",Leistungsdaten!G132,IF('Planungstool Heizlast'!$B$4="EU08L",Leistungsdaten!C132,""))*$B$237</f>
        <v>5.2665361951230683</v>
      </c>
      <c r="L132" s="1">
        <f t="shared" si="2"/>
        <v>5.2931261476283318</v>
      </c>
    </row>
    <row r="133" spans="1:12" x14ac:dyDescent="0.25">
      <c r="A133">
        <v>2.8485150935905201</v>
      </c>
      <c r="B133">
        <v>10.6551352788985</v>
      </c>
      <c r="C133">
        <f>IF(A133&lt;'Planungstool Heizlast'!$B$9,'Planungstool Heizlast'!$B$22,IF(A133&gt;15,'Planungstool Heizlast'!$B$21,'Planungstool Heizlast'!$B$20/(15-'Planungstool Heizlast'!$B$9)*(15-Leistungsdaten!A133)+'Planungstool Heizlast'!$B$21))</f>
        <v>4.7227525719205889</v>
      </c>
      <c r="E133">
        <v>7.3519858493429</v>
      </c>
      <c r="F133">
        <v>16.7704259382831</v>
      </c>
      <c r="G133">
        <f>IF(E133&lt;'Planungstool Heizlast'!$B$9,'Planungstool Heizlast'!$B$22,IF(E133&gt;15,'Planungstool Heizlast'!$B$21,'Planungstool Heizlast'!$B$20/(15-'Planungstool Heizlast'!$B$9)*(15-Leistungsdaten!E133)+'Planungstool Heizlast'!$B$21))</f>
        <v>3.3747353681975061</v>
      </c>
      <c r="I133" s="1">
        <f>IF('Planungstool Heizlast'!$B$4="EU13L",Leistungsdaten!E133,IF('Planungstool Heizlast'!$B$4="EU08L",A133,""))</f>
        <v>2.8485150935905201</v>
      </c>
      <c r="J133" s="1">
        <f>IF(OR('Planungstool Heizlast'!$B$10="Fußbodenheizung 35°C",'Planungstool Heizlast'!$B$10="Niedertemperaturheizkörper 45°C"),IF('Planungstool Heizlast'!$B$4="EU13L",Leistungsdaten!F133,IF('Planungstool Heizlast'!$B$4="EU08L",Leistungsdaten!B133,"")),IF('Planungstool Heizlast'!$B$4="EU13L",Leistungsdaten!F133,IF('Planungstool Heizlast'!$B$4="EU08L",Leistungsdaten!B133,""))*0.9)*'Planungstool Heizlast'!$B$5</f>
        <v>10.6551352788985</v>
      </c>
      <c r="K133" s="1">
        <f>IF('Planungstool Heizlast'!$B$4="EU13L",Leistungsdaten!G133,IF('Planungstool Heizlast'!$B$4="EU08L",Leistungsdaten!C133,""))*$B$237</f>
        <v>5.1950278291126484</v>
      </c>
      <c r="L133" s="1">
        <f t="shared" si="2"/>
        <v>5.4601074497858519</v>
      </c>
    </row>
    <row r="134" spans="1:12" x14ac:dyDescent="0.25">
      <c r="A134">
        <v>3.0486160933740098</v>
      </c>
      <c r="B134">
        <v>10.715774063855401</v>
      </c>
      <c r="C134">
        <f>IF(A134&lt;'Planungstool Heizlast'!$B$9,'Planungstool Heizlast'!$B$22,IF(A134&gt;15,'Planungstool Heizlast'!$B$21,'Planungstool Heizlast'!$B$20/(15-'Planungstool Heizlast'!$B$9)*(15-Leistungsdaten!A134)+'Planungstool Heizlast'!$B$21))</f>
        <v>4.6628566372471401</v>
      </c>
      <c r="E134">
        <v>7.5657874683323403</v>
      </c>
      <c r="F134">
        <v>16.782428156322698</v>
      </c>
      <c r="G134">
        <f>IF(E134&lt;'Planungstool Heizlast'!$B$9,'Planungstool Heizlast'!$B$22,IF(E134&gt;15,'Planungstool Heizlast'!$B$21,'Planungstool Heizlast'!$B$20/(15-'Planungstool Heizlast'!$B$9)*(15-Leistungsdaten!E134)+'Planungstool Heizlast'!$B$21))</f>
        <v>3.3107384475528057</v>
      </c>
      <c r="I134" s="1">
        <f>IF('Planungstool Heizlast'!$B$4="EU13L",Leistungsdaten!E134,IF('Planungstool Heizlast'!$B$4="EU08L",A134,""))</f>
        <v>3.0486160933740098</v>
      </c>
      <c r="J134" s="1">
        <f>IF(OR('Planungstool Heizlast'!$B$10="Fußbodenheizung 35°C",'Planungstool Heizlast'!$B$10="Niedertemperaturheizkörper 45°C"),IF('Planungstool Heizlast'!$B$4="EU13L",Leistungsdaten!F134,IF('Planungstool Heizlast'!$B$4="EU08L",Leistungsdaten!B134,"")),IF('Planungstool Heizlast'!$B$4="EU13L",Leistungsdaten!F134,IF('Planungstool Heizlast'!$B$4="EU08L",Leistungsdaten!B134,""))*0.9)*'Planungstool Heizlast'!$B$5</f>
        <v>10.715774063855401</v>
      </c>
      <c r="K134" s="1">
        <f>IF('Planungstool Heizlast'!$B$4="EU13L",Leistungsdaten!G134,IF('Planungstool Heizlast'!$B$4="EU08L",Leistungsdaten!C134,""))*$B$237</f>
        <v>5.1291423009718544</v>
      </c>
      <c r="L134" s="1">
        <f t="shared" si="2"/>
        <v>5.5866317628835462</v>
      </c>
    </row>
    <row r="135" spans="1:12" x14ac:dyDescent="0.25">
      <c r="A135">
        <v>3.2652758541803601</v>
      </c>
      <c r="B135">
        <v>10.7535754846953</v>
      </c>
      <c r="C135">
        <f>IF(A135&lt;'Planungstool Heizlast'!$B$9,'Planungstool Heizlast'!$B$22,IF(A135&gt;15,'Planungstool Heizlast'!$B$21,'Planungstool Heizlast'!$B$20/(15-'Planungstool Heizlast'!$B$9)*(15-Leistungsdaten!A135)+'Planungstool Heizlast'!$B$21))</f>
        <v>4.5980041932630353</v>
      </c>
      <c r="E135">
        <v>7.7520524334484797</v>
      </c>
      <c r="F135">
        <v>16.738536358538099</v>
      </c>
      <c r="G135">
        <f>IF(E135&lt;'Planungstool Heizlast'!$B$9,'Planungstool Heizlast'!$B$22,IF(E135&gt;15,'Planungstool Heizlast'!$B$21,'Planungstool Heizlast'!$B$20/(15-'Planungstool Heizlast'!$B$9)*(15-Leistungsdaten!E135)+'Planungstool Heizlast'!$B$21))</f>
        <v>3.2549840325592774</v>
      </c>
      <c r="I135" s="1">
        <f>IF('Planungstool Heizlast'!$B$4="EU13L",Leistungsdaten!E135,IF('Planungstool Heizlast'!$B$4="EU08L",A135,""))</f>
        <v>3.2652758541803601</v>
      </c>
      <c r="J135" s="1">
        <f>IF(OR('Planungstool Heizlast'!$B$10="Fußbodenheizung 35°C",'Planungstool Heizlast'!$B$10="Niedertemperaturheizkörper 45°C"),IF('Planungstool Heizlast'!$B$4="EU13L",Leistungsdaten!F135,IF('Planungstool Heizlast'!$B$4="EU08L",Leistungsdaten!B135,"")),IF('Planungstool Heizlast'!$B$4="EU13L",Leistungsdaten!F135,IF('Planungstool Heizlast'!$B$4="EU08L",Leistungsdaten!B135,""))*0.9)*'Planungstool Heizlast'!$B$5</f>
        <v>10.7535754846953</v>
      </c>
      <c r="K135" s="1">
        <f>IF('Planungstool Heizlast'!$B$4="EU13L",Leistungsdaten!G135,IF('Planungstool Heizlast'!$B$4="EU08L",Leistungsdaten!C135,""))*$B$237</f>
        <v>5.0578046125893392</v>
      </c>
      <c r="L135" s="1">
        <f t="shared" si="2"/>
        <v>5.6957708721059612</v>
      </c>
    </row>
    <row r="136" spans="1:12" x14ac:dyDescent="0.25">
      <c r="A136">
        <v>3.4817381513994698</v>
      </c>
      <c r="B136">
        <v>10.771037106169899</v>
      </c>
      <c r="C136">
        <f>IF(A136&lt;'Planungstool Heizlast'!$B$9,'Planungstool Heizlast'!$B$22,IF(A136&gt;15,'Planungstool Heizlast'!$B$21,'Planungstool Heizlast'!$B$20/(15-'Planungstool Heizlast'!$B$9)*(15-Leistungsdaten!A136)+'Planungstool Heizlast'!$B$21))</f>
        <v>4.5332108557608288</v>
      </c>
      <c r="E136">
        <v>7.96531146114918</v>
      </c>
      <c r="F136">
        <v>16.749497296828601</v>
      </c>
      <c r="G136">
        <f>IF(E136&lt;'Planungstool Heizlast'!$B$9,'Planungstool Heizlast'!$B$22,IF(E136&gt;15,'Planungstool Heizlast'!$B$21,'Planungstool Heizlast'!$B$20/(15-'Planungstool Heizlast'!$B$9)*(15-Leistungsdaten!E136)+'Planungstool Heizlast'!$B$21))</f>
        <v>3.1911495249580901</v>
      </c>
      <c r="I136" s="1">
        <f>IF('Planungstool Heizlast'!$B$4="EU13L",Leistungsdaten!E136,IF('Planungstool Heizlast'!$B$4="EU08L",A136,""))</f>
        <v>3.4817381513994698</v>
      </c>
      <c r="J136" s="1">
        <f>IF(OR('Planungstool Heizlast'!$B$10="Fußbodenheizung 35°C",'Planungstool Heizlast'!$B$10="Niedertemperaturheizkörper 45°C"),IF('Planungstool Heizlast'!$B$4="EU13L",Leistungsdaten!F136,IF('Planungstool Heizlast'!$B$4="EU08L",Leistungsdaten!B136,"")),IF('Planungstool Heizlast'!$B$4="EU13L",Leistungsdaten!F136,IF('Planungstool Heizlast'!$B$4="EU08L",Leistungsdaten!B136,""))*0.9)*'Planungstool Heizlast'!$B$5</f>
        <v>10.771037106169899</v>
      </c>
      <c r="K136" s="1">
        <f>IF('Planungstool Heizlast'!$B$4="EU13L",Leistungsdaten!G136,IF('Planungstool Heizlast'!$B$4="EU08L",Leistungsdaten!C136,""))*$B$237</f>
        <v>4.9865319413369118</v>
      </c>
      <c r="L136" s="1">
        <f t="shared" si="2"/>
        <v>5.7845051648329875</v>
      </c>
    </row>
    <row r="137" spans="1:12" x14ac:dyDescent="0.25">
      <c r="A137">
        <v>3.6807390835802298</v>
      </c>
      <c r="B137">
        <v>10.7532279706646</v>
      </c>
      <c r="C137">
        <f>IF(A137&lt;'Planungstool Heizlast'!$B$9,'Planungstool Heizlast'!$B$22,IF(A137&gt;15,'Planungstool Heizlast'!$B$21,'Planungstool Heizlast'!$B$20/(15-'Planungstool Heizlast'!$B$9)*(15-Leistungsdaten!A137)+'Planungstool Heizlast'!$B$21))</f>
        <v>4.4736442026868755</v>
      </c>
      <c r="E137">
        <v>8.1508320731967707</v>
      </c>
      <c r="F137">
        <v>16.7042210385769</v>
      </c>
      <c r="G137">
        <f>IF(E137&lt;'Planungstool Heizlast'!$B$9,'Planungstool Heizlast'!$B$22,IF(E137&gt;15,'Planungstool Heizlast'!$B$21,'Planungstool Heizlast'!$B$20/(15-'Planungstool Heizlast'!$B$9)*(15-Leistungsdaten!E137)+'Planungstool Heizlast'!$B$21))</f>
        <v>3.1356179160615629</v>
      </c>
      <c r="I137" s="1">
        <f>IF('Planungstool Heizlast'!$B$4="EU13L",Leistungsdaten!E137,IF('Planungstool Heizlast'!$B$4="EU08L",A137,""))</f>
        <v>3.6807390835802298</v>
      </c>
      <c r="J137" s="1">
        <f>IF(OR('Planungstool Heizlast'!$B$10="Fußbodenheizung 35°C",'Planungstool Heizlast'!$B$10="Niedertemperaturheizkörper 45°C"),IF('Planungstool Heizlast'!$B$4="EU13L",Leistungsdaten!F137,IF('Planungstool Heizlast'!$B$4="EU08L",Leistungsdaten!B137,"")),IF('Planungstool Heizlast'!$B$4="EU13L",Leistungsdaten!F137,IF('Planungstool Heizlast'!$B$4="EU08L",Leistungsdaten!B137,""))*0.9)*'Planungstool Heizlast'!$B$5</f>
        <v>10.7532279706646</v>
      </c>
      <c r="K137" s="1">
        <f>IF('Planungstool Heizlast'!$B$4="EU13L",Leistungsdaten!G137,IF('Planungstool Heizlast'!$B$4="EU08L",Leistungsdaten!C137,""))*$B$237</f>
        <v>4.9210086229555632</v>
      </c>
      <c r="L137" s="1">
        <f t="shared" si="2"/>
        <v>5.8322193477090369</v>
      </c>
    </row>
    <row r="138" spans="1:12" x14ac:dyDescent="0.25">
      <c r="A138">
        <v>3.8966746960786902</v>
      </c>
      <c r="B138">
        <v>10.769856036541</v>
      </c>
      <c r="C138">
        <f>IF(A138&lt;'Planungstool Heizlast'!$B$9,'Planungstool Heizlast'!$B$22,IF(A138&gt;15,'Planungstool Heizlast'!$B$21,'Planungstool Heizlast'!$B$20/(15-'Planungstool Heizlast'!$B$9)*(15-Leistungsdaten!A138)+'Planungstool Heizlast'!$B$21))</f>
        <v>4.4090085169388118</v>
      </c>
      <c r="E138">
        <v>8.3635408788594301</v>
      </c>
      <c r="F138">
        <v>16.714134764769099</v>
      </c>
      <c r="G138">
        <f>IF(E138&lt;'Planungstool Heizlast'!$B$9,'Planungstool Heizlast'!$B$22,IF(E138&gt;15,'Planungstool Heizlast'!$B$21,'Planungstool Heizlast'!$B$20/(15-'Planungstool Heizlast'!$B$9)*(15-Leistungsdaten!E138)+'Planungstool Heizlast'!$B$21))</f>
        <v>3.0719481056047275</v>
      </c>
      <c r="I138" s="1">
        <f>IF('Planungstool Heizlast'!$B$4="EU13L",Leistungsdaten!E138,IF('Planungstool Heizlast'!$B$4="EU08L",A138,""))</f>
        <v>3.8966746960786902</v>
      </c>
      <c r="J138" s="1">
        <f>IF(OR('Planungstool Heizlast'!$B$10="Fußbodenheizung 35°C",'Planungstool Heizlast'!$B$10="Niedertemperaturheizkörper 45°C"),IF('Planungstool Heizlast'!$B$4="EU13L",Leistungsdaten!F138,IF('Planungstool Heizlast'!$B$4="EU08L",Leistungsdaten!B138,"")),IF('Planungstool Heizlast'!$B$4="EU13L",Leistungsdaten!F138,IF('Planungstool Heizlast'!$B$4="EU08L",Leistungsdaten!B138,""))*0.9)*'Planungstool Heizlast'!$B$5</f>
        <v>10.769856036541</v>
      </c>
      <c r="K138" s="1">
        <f>IF('Planungstool Heizlast'!$B$4="EU13L",Leistungsdaten!G138,IF('Planungstool Heizlast'!$B$4="EU08L",Leistungsdaten!C138,""))*$B$237</f>
        <v>4.8499093686326935</v>
      </c>
      <c r="L138" s="1">
        <f t="shared" si="2"/>
        <v>5.9199466679083068</v>
      </c>
    </row>
    <row r="139" spans="1:12" x14ac:dyDescent="0.25">
      <c r="A139">
        <v>4.0948953144854103</v>
      </c>
      <c r="B139">
        <v>10.7508723461393</v>
      </c>
      <c r="C139">
        <f>IF(A139&lt;'Planungstool Heizlast'!$B$9,'Planungstool Heizlast'!$B$22,IF(A139&gt;15,'Planungstool Heizlast'!$B$21,'Planungstool Heizlast'!$B$20/(15-'Planungstool Heizlast'!$B$9)*(15-Leistungsdaten!A139)+'Planungstool Heizlast'!$B$21))</f>
        <v>4.3496754340263539</v>
      </c>
      <c r="E139">
        <v>8.5760254540881604</v>
      </c>
      <c r="F139">
        <v>16.7236177309114</v>
      </c>
      <c r="G139">
        <f>IF(E139&lt;'Planungstool Heizlast'!$B$9,'Planungstool Heizlast'!$B$22,IF(E139&gt;15,'Planungstool Heizlast'!$B$21,'Planungstool Heizlast'!$B$20/(15-'Planungstool Heizlast'!$B$9)*(15-Leistungsdaten!E139)+'Planungstool Heizlast'!$B$21))</f>
        <v>3.0083454137102033</v>
      </c>
      <c r="I139" s="1">
        <f>IF('Planungstool Heizlast'!$B$4="EU13L",Leistungsdaten!E139,IF('Planungstool Heizlast'!$B$4="EU08L",A139,""))</f>
        <v>4.0948953144854103</v>
      </c>
      <c r="J139" s="1">
        <f>IF(OR('Planungstool Heizlast'!$B$10="Fußbodenheizung 35°C",'Planungstool Heizlast'!$B$10="Niedertemperaturheizkörper 45°C"),IF('Planungstool Heizlast'!$B$4="EU13L",Leistungsdaten!F139,IF('Planungstool Heizlast'!$B$4="EU08L",Leistungsdaten!B139,"")),IF('Planungstool Heizlast'!$B$4="EU13L",Leistungsdaten!F139,IF('Planungstool Heizlast'!$B$4="EU08L",Leistungsdaten!B139,""))*0.9)*'Planungstool Heizlast'!$B$5</f>
        <v>10.7508723461393</v>
      </c>
      <c r="K139" s="1">
        <f>IF('Planungstool Heizlast'!$B$4="EU13L",Leistungsdaten!G139,IF('Planungstool Heizlast'!$B$4="EU08L",Leistungsdaten!C139,""))*$B$237</f>
        <v>4.78464297742899</v>
      </c>
      <c r="L139" s="1">
        <f t="shared" si="2"/>
        <v>5.9662293687103096</v>
      </c>
    </row>
    <row r="140" spans="1:12" x14ac:dyDescent="0.25">
      <c r="A140">
        <v>4.3102990784238502</v>
      </c>
      <c r="B140">
        <v>10.7666613125343</v>
      </c>
      <c r="C140">
        <f>IF(A140&lt;'Planungstool Heizlast'!$B$9,'Planungstool Heizlast'!$B$22,IF(A140&gt;15,'Planungstool Heizlast'!$B$21,'Planungstool Heizlast'!$B$20/(15-'Planungstool Heizlast'!$B$9)*(15-Leistungsdaten!A140)+'Planungstool Heizlast'!$B$21))</f>
        <v>4.2851989457167914</v>
      </c>
      <c r="E140">
        <v>8.7882842506436898</v>
      </c>
      <c r="F140">
        <v>16.732668442865599</v>
      </c>
      <c r="G140">
        <f>IF(E140&lt;'Planungstool Heizlast'!$B$9,'Planungstool Heizlast'!$B$22,IF(E140&gt;15,'Planungstool Heizlast'!$B$21,'Planungstool Heizlast'!$B$20/(15-'Planungstool Heizlast'!$B$9)*(15-Leistungsdaten!E140)+'Planungstool Heizlast'!$B$21))</f>
        <v>2.9448103038101481</v>
      </c>
      <c r="I140" s="1">
        <f>IF('Planungstool Heizlast'!$B$4="EU13L",Leistungsdaten!E140,IF('Planungstool Heizlast'!$B$4="EU08L",A140,""))</f>
        <v>4.3102990784238502</v>
      </c>
      <c r="J140" s="1">
        <f>IF(OR('Planungstool Heizlast'!$B$10="Fußbodenheizung 35°C",'Planungstool Heizlast'!$B$10="Niedertemperaturheizkörper 45°C"),IF('Planungstool Heizlast'!$B$4="EU13L",Leistungsdaten!F140,IF('Planungstool Heizlast'!$B$4="EU08L",Leistungsdaten!B140,"")),IF('Planungstool Heizlast'!$B$4="EU13L",Leistungsdaten!F140,IF('Planungstool Heizlast'!$B$4="EU08L",Leistungsdaten!B140,""))*0.9)*'Planungstool Heizlast'!$B$5</f>
        <v>10.7666613125343</v>
      </c>
      <c r="K140" s="1">
        <f>IF('Planungstool Heizlast'!$B$4="EU13L",Leistungsdaten!G140,IF('Planungstool Heizlast'!$B$4="EU08L",Leistungsdaten!C140,""))*$B$237</f>
        <v>4.7137188402884709</v>
      </c>
      <c r="L140" s="1">
        <f t="shared" si="2"/>
        <v>6.0529424722458289</v>
      </c>
    </row>
    <row r="141" spans="1:12" x14ac:dyDescent="0.25">
      <c r="A141">
        <v>4.5254983440509697</v>
      </c>
      <c r="B141">
        <v>10.782116711556601</v>
      </c>
      <c r="C141">
        <f>IF(A141&lt;'Planungstool Heizlast'!$B$9,'Planungstool Heizlast'!$B$22,IF(A141&gt;15,'Planungstool Heizlast'!$B$21,'Planungstool Heizlast'!$B$20/(15-'Planungstool Heizlast'!$B$9)*(15-Leistungsdaten!A141)+'Planungstool Heizlast'!$B$21))</f>
        <v>4.2207836695826257</v>
      </c>
      <c r="E141">
        <v>9.0003157396058509</v>
      </c>
      <c r="F141">
        <v>16.741285435803999</v>
      </c>
      <c r="G141">
        <f>IF(E141&lt;'Planungstool Heizlast'!$B$9,'Planungstool Heizlast'!$B$22,IF(E141&gt;15,'Planungstool Heizlast'!$B$21,'Planungstool Heizlast'!$B$20/(15-'Planungstool Heizlast'!$B$9)*(15-Leistungsdaten!E141)+'Planungstool Heizlast'!$B$21))</f>
        <v>2.8813432335539622</v>
      </c>
      <c r="I141" s="1">
        <f>IF('Planungstool Heizlast'!$B$4="EU13L",Leistungsdaten!E141,IF('Planungstool Heizlast'!$B$4="EU08L",A141,""))</f>
        <v>4.5254983440509697</v>
      </c>
      <c r="J141" s="1">
        <f>IF(OR('Planungstool Heizlast'!$B$10="Fußbodenheizung 35°C",'Planungstool Heizlast'!$B$10="Niedertemperaturheizkörper 45°C"),IF('Planungstool Heizlast'!$B$4="EU13L",Leistungsdaten!F141,IF('Planungstool Heizlast'!$B$4="EU08L",Leistungsdaten!B141,"")),IF('Planungstool Heizlast'!$B$4="EU13L",Leistungsdaten!F141,IF('Planungstool Heizlast'!$B$4="EU08L",Leistungsdaten!B141,""))*0.9)*'Planungstool Heizlast'!$B$5</f>
        <v>10.782116711556601</v>
      </c>
      <c r="K141" s="1">
        <f>IF('Planungstool Heizlast'!$B$4="EU13L",Leistungsdaten!G141,IF('Planungstool Heizlast'!$B$4="EU08L",Leistungsdaten!C141,""))*$B$237</f>
        <v>4.6428620365408886</v>
      </c>
      <c r="L141" s="1">
        <f t="shared" si="2"/>
        <v>6.139254675015712</v>
      </c>
    </row>
    <row r="142" spans="1:12" x14ac:dyDescent="0.25">
      <c r="A142">
        <v>4.7226024902164596</v>
      </c>
      <c r="B142">
        <v>10.761444692351599</v>
      </c>
      <c r="C142">
        <f>IF(A142&lt;'Planungstool Heizlast'!$B$9,'Planungstool Heizlast'!$B$22,IF(A142&gt;15,'Planungstool Heizlast'!$B$21,'Planungstool Heizlast'!$B$20/(15-'Planungstool Heizlast'!$B$9)*(15-Leistungsdaten!A142)+'Planungstool Heizlast'!$B$21))</f>
        <v>4.1617847786457087</v>
      </c>
      <c r="E142">
        <v>9.2121184113761405</v>
      </c>
      <c r="F142">
        <v>16.749467274212702</v>
      </c>
      <c r="G142">
        <f>IF(E142&lt;'Planungstool Heizlast'!$B$9,'Planungstool Heizlast'!$B$22,IF(E142&gt;15,'Planungstool Heizlast'!$B$21,'Planungstool Heizlast'!$B$20/(15-'Planungstool Heizlast'!$B$9)*(15-Leistungsdaten!E142)+'Planungstool Heizlast'!$B$21))</f>
        <v>2.8179446548075209</v>
      </c>
      <c r="I142" s="1">
        <f>IF('Planungstool Heizlast'!$B$4="EU13L",Leistungsdaten!E142,IF('Planungstool Heizlast'!$B$4="EU08L",A142,""))</f>
        <v>4.7226024902164596</v>
      </c>
      <c r="J142" s="1">
        <f>IF(OR('Planungstool Heizlast'!$B$10="Fußbodenheizung 35°C",'Planungstool Heizlast'!$B$10="Niedertemperaturheizkörper 45°C"),IF('Planungstool Heizlast'!$B$4="EU13L",Leistungsdaten!F142,IF('Planungstool Heizlast'!$B$4="EU08L",Leistungsdaten!B142,"")),IF('Planungstool Heizlast'!$B$4="EU13L",Leistungsdaten!F142,IF('Planungstool Heizlast'!$B$4="EU08L",Leistungsdaten!B142,""))*0.9)*'Planungstool Heizlast'!$B$5</f>
        <v>10.761444692351599</v>
      </c>
      <c r="K142" s="1">
        <f>IF('Planungstool Heizlast'!$B$4="EU13L",Leistungsdaten!G142,IF('Planungstool Heizlast'!$B$4="EU08L",Leistungsdaten!C142,""))*$B$237</f>
        <v>4.5779632565102801</v>
      </c>
      <c r="L142" s="1">
        <f t="shared" si="2"/>
        <v>6.183481435841319</v>
      </c>
    </row>
    <row r="143" spans="1:12" x14ac:dyDescent="0.25">
      <c r="A143">
        <v>4.9372623219305201</v>
      </c>
      <c r="B143">
        <v>10.776052766335599</v>
      </c>
      <c r="C143">
        <f>IF(A143&lt;'Planungstool Heizlast'!$B$9,'Planungstool Heizlast'!$B$22,IF(A143&gt;15,'Planungstool Heizlast'!$B$21,'Planungstool Heizlast'!$B$20/(15-'Planungstool Heizlast'!$B$9)*(15-Leistungsdaten!A143)+'Planungstool Heizlast'!$B$21))</f>
        <v>4.097530970462488</v>
      </c>
      <c r="E143">
        <v>9.42369077568042</v>
      </c>
      <c r="F143">
        <v>16.757212551896501</v>
      </c>
      <c r="G143">
        <f>IF(E143&lt;'Planungstool Heizlast'!$B$9,'Planungstool Heizlast'!$B$22,IF(E143&gt;15,'Planungstool Heizlast'!$B$21,'Planungstool Heizlast'!$B$20/(15-'Planungstool Heizlast'!$B$9)*(15-Leistungsdaten!E143)+'Planungstool Heizlast'!$B$21))</f>
        <v>2.7546150136523648</v>
      </c>
      <c r="I143" s="1">
        <f>IF('Planungstool Heizlast'!$B$4="EU13L",Leistungsdaten!E143,IF('Planungstool Heizlast'!$B$4="EU08L",A143,""))</f>
        <v>4.9372623219305201</v>
      </c>
      <c r="J143" s="1">
        <f>IF(OR('Planungstool Heizlast'!$B$10="Fußbodenheizung 35°C",'Planungstool Heizlast'!$B$10="Niedertemperaturheizkörper 45°C"),IF('Planungstool Heizlast'!$B$4="EU13L",Leistungsdaten!F143,IF('Planungstool Heizlast'!$B$4="EU08L",Leistungsdaten!B143,"")),IF('Planungstool Heizlast'!$B$4="EU13L",Leistungsdaten!F143,IF('Planungstool Heizlast'!$B$4="EU08L",Leistungsdaten!B143,""))*0.9)*'Planungstool Heizlast'!$B$5</f>
        <v>10.776052766335599</v>
      </c>
      <c r="K143" s="1">
        <f>IF('Planungstool Heizlast'!$B$4="EU13L",Leistungsdaten!G143,IF('Planungstool Heizlast'!$B$4="EU08L",Leistungsdaten!C143,""))*$B$237</f>
        <v>4.5072840675087376</v>
      </c>
      <c r="L143" s="1">
        <f t="shared" si="2"/>
        <v>6.2687686988268618</v>
      </c>
    </row>
    <row r="144" spans="1:12" x14ac:dyDescent="0.25">
      <c r="A144">
        <v>5.1335765788745604</v>
      </c>
      <c r="B144">
        <v>10.7541986254704</v>
      </c>
      <c r="C144">
        <f>IF(A144&lt;'Planungstool Heizlast'!$B$9,'Planungstool Heizlast'!$B$22,IF(A144&gt;15,'Planungstool Heizlast'!$B$21,'Planungstool Heizlast'!$B$20/(15-'Planungstool Heizlast'!$B$9)*(15-Leistungsdaten!A144)+'Planungstool Heizlast'!$B$21))</f>
        <v>4.0387685158914985</v>
      </c>
      <c r="E144">
        <v>9.6067736519326399</v>
      </c>
      <c r="F144">
        <v>16.7074236617762</v>
      </c>
      <c r="G144">
        <f>IF(E144&lt;'Planungstool Heizlast'!$B$9,'Planungstool Heizlast'!$B$22,IF(E144&gt;15,'Planungstool Heizlast'!$B$21,'Planungstool Heizlast'!$B$20/(15-'Planungstool Heizlast'!$B$9)*(15-Leistungsdaten!E144)+'Planungstool Heizlast'!$B$21))</f>
        <v>2.6998130885860467</v>
      </c>
      <c r="I144" s="1">
        <f>IF('Planungstool Heizlast'!$B$4="EU13L",Leistungsdaten!E144,IF('Planungstool Heizlast'!$B$4="EU08L",A144,""))</f>
        <v>5.1335765788745604</v>
      </c>
      <c r="J144" s="1">
        <f>IF(OR('Planungstool Heizlast'!$B$10="Fußbodenheizung 35°C",'Planungstool Heizlast'!$B$10="Niedertemperaturheizkörper 45°C"),IF('Planungstool Heizlast'!$B$4="EU13L",Leistungsdaten!F144,IF('Planungstool Heizlast'!$B$4="EU08L",Leistungsdaten!B144,"")),IF('Planungstool Heizlast'!$B$4="EU13L",Leistungsdaten!F144,IF('Planungstool Heizlast'!$B$4="EU08L",Leistungsdaten!B144,""))*0.9)*'Planungstool Heizlast'!$B$5</f>
        <v>10.7541986254704</v>
      </c>
      <c r="K144" s="1">
        <f>IF('Planungstool Heizlast'!$B$4="EU13L",Leistungsdaten!G144,IF('Planungstool Heizlast'!$B$4="EU08L",Leistungsdaten!C144,""))*$B$237</f>
        <v>4.4426453674806492</v>
      </c>
      <c r="L144" s="1">
        <f t="shared" si="2"/>
        <v>6.3115532579897504</v>
      </c>
    </row>
    <row r="145" spans="1:12" x14ac:dyDescent="0.25">
      <c r="A145">
        <v>5.3476923214128202</v>
      </c>
      <c r="B145">
        <v>10.767954602127</v>
      </c>
      <c r="C145">
        <f>IF(A145&lt;'Planungstool Heizlast'!$B$9,'Planungstool Heizlast'!$B$22,IF(A145&gt;15,'Planungstool Heizlast'!$B$21,'Planungstool Heizlast'!$B$20/(15-'Planungstool Heizlast'!$B$9)*(15-Leistungsdaten!A145)+'Planungstool Heizlast'!$B$21))</f>
        <v>3.9746775691120972</v>
      </c>
      <c r="E145">
        <v>9.8461387174338402</v>
      </c>
      <c r="F145">
        <v>16.771387946925</v>
      </c>
      <c r="G145">
        <f>IF(E145&lt;'Planungstool Heizlast'!$B$9,'Planungstool Heizlast'!$B$22,IF(E145&gt;15,'Planungstool Heizlast'!$B$21,'Planungstool Heizlast'!$B$20/(15-'Planungstool Heizlast'!$B$9)*(15-Leistungsdaten!E145)+'Planungstool Heizlast'!$B$21))</f>
        <v>2.6281642995151353</v>
      </c>
      <c r="I145" s="1">
        <f>IF('Planungstool Heizlast'!$B$4="EU13L",Leistungsdaten!E145,IF('Planungstool Heizlast'!$B$4="EU08L",A145,""))</f>
        <v>5.3476923214128202</v>
      </c>
      <c r="J145" s="1">
        <f>IF(OR('Planungstool Heizlast'!$B$10="Fußbodenheizung 35°C",'Planungstool Heizlast'!$B$10="Niedertemperaturheizkörper 45°C"),IF('Planungstool Heizlast'!$B$4="EU13L",Leistungsdaten!F145,IF('Planungstool Heizlast'!$B$4="EU08L",Leistungsdaten!B145,"")),IF('Planungstool Heizlast'!$B$4="EU13L",Leistungsdaten!F145,IF('Planungstool Heizlast'!$B$4="EU08L",Leistungsdaten!B145,""))*0.9)*'Planungstool Heizlast'!$B$5</f>
        <v>10.767954602127</v>
      </c>
      <c r="K145" s="1">
        <f>IF('Planungstool Heizlast'!$B$4="EU13L",Leistungsdaten!G145,IF('Planungstool Heizlast'!$B$4="EU08L",Leistungsdaten!C145,""))*$B$237</f>
        <v>4.3721453260233076</v>
      </c>
      <c r="L145" s="1">
        <f t="shared" si="2"/>
        <v>6.3958092761036927</v>
      </c>
    </row>
    <row r="146" spans="1:12" x14ac:dyDescent="0.25">
      <c r="A146">
        <v>5.5615970917301798</v>
      </c>
      <c r="B146">
        <v>10.7813695843203</v>
      </c>
      <c r="C146">
        <f>IF(A146&lt;'Planungstool Heizlast'!$B$9,'Planungstool Heizlast'!$B$22,IF(A146&gt;15,'Planungstool Heizlast'!$B$21,'Planungstool Heizlast'!$B$20/(15-'Planungstool Heizlast'!$B$9)*(15-Leistungsdaten!A146)+'Planungstool Heizlast'!$B$21))</f>
        <v>3.9106497723338181</v>
      </c>
      <c r="E146">
        <v>10.057011410983201</v>
      </c>
      <c r="F146">
        <v>16.777815398510501</v>
      </c>
      <c r="G146">
        <f>IF(E146&lt;'Planungstool Heizlast'!$B$9,'Planungstool Heizlast'!$B$22,IF(E146&gt;15,'Planungstool Heizlast'!$B$21,'Planungstool Heizlast'!$B$20/(15-'Planungstool Heizlast'!$B$9)*(15-Leistungsdaten!E146)+'Planungstool Heizlast'!$B$21))</f>
        <v>2.5650440897664941</v>
      </c>
      <c r="I146" s="1">
        <f>IF('Planungstool Heizlast'!$B$4="EU13L",Leistungsdaten!E146,IF('Planungstool Heizlast'!$B$4="EU08L",A146,""))</f>
        <v>5.5615970917301798</v>
      </c>
      <c r="J146" s="1">
        <f>IF(OR('Planungstool Heizlast'!$B$10="Fußbodenheizung 35°C",'Planungstool Heizlast'!$B$10="Niedertemperaturheizkörper 45°C"),IF('Planungstool Heizlast'!$B$4="EU13L",Leistungsdaten!F146,IF('Planungstool Heizlast'!$B$4="EU08L",Leistungsdaten!B146,"")),IF('Planungstool Heizlast'!$B$4="EU13L",Leistungsdaten!F146,IF('Planungstool Heizlast'!$B$4="EU08L",Leistungsdaten!B146,""))*0.9)*'Planungstool Heizlast'!$B$5</f>
        <v>10.7813695843203</v>
      </c>
      <c r="K146" s="1">
        <f>IF('Planungstool Heizlast'!$B$4="EU13L",Leistungsdaten!G146,IF('Planungstool Heizlast'!$B$4="EU08L",Leistungsdaten!C146,""))*$B$237</f>
        <v>4.3017147495671999</v>
      </c>
      <c r="L146" s="1">
        <f t="shared" si="2"/>
        <v>6.4796548347531004</v>
      </c>
    </row>
    <row r="147" spans="1:12" x14ac:dyDescent="0.25">
      <c r="A147">
        <v>5.7752895968798299</v>
      </c>
      <c r="B147">
        <v>10.7944420210105</v>
      </c>
      <c r="C147">
        <f>IF(A147&lt;'Planungstool Heizlast'!$B$9,'Planungstool Heizlast'!$B$22,IF(A147&gt;15,'Planungstool Heizlast'!$B$21,'Planungstool Heizlast'!$B$20/(15-'Planungstool Heizlast'!$B$9)*(15-Leistungsdaten!A147)+'Planungstool Heizlast'!$B$21))</f>
        <v>3.8466855125725075</v>
      </c>
      <c r="E147">
        <v>10.2676480292736</v>
      </c>
      <c r="F147">
        <v>16.7838009578624</v>
      </c>
      <c r="G147">
        <f>IF(E147&lt;'Planungstool Heizlast'!$B$9,'Planungstool Heizlast'!$B$22,IF(E147&gt;15,'Planungstool Heizlast'!$B$21,'Planungstool Heizlast'!$B$20/(15-'Planungstool Heizlast'!$B$9)*(15-Leistungsdaten!E147)+'Planungstool Heizlast'!$B$21))</f>
        <v>2.5019945440740239</v>
      </c>
      <c r="I147" s="1">
        <f>IF('Planungstool Heizlast'!$B$4="EU13L",Leistungsdaten!E147,IF('Planungstool Heizlast'!$B$4="EU08L",A147,""))</f>
        <v>5.7752895968798299</v>
      </c>
      <c r="J147" s="1">
        <f>IF(OR('Planungstool Heizlast'!$B$10="Fußbodenheizung 35°C",'Planungstool Heizlast'!$B$10="Niedertemperaturheizkörper 45°C"),IF('Planungstool Heizlast'!$B$4="EU13L",Leistungsdaten!F147,IF('Planungstool Heizlast'!$B$4="EU08L",Leistungsdaten!B147,"")),IF('Planungstool Heizlast'!$B$4="EU13L",Leistungsdaten!F147,IF('Planungstool Heizlast'!$B$4="EU08L",Leistungsdaten!B147,""))*0.9)*'Planungstool Heizlast'!$B$5</f>
        <v>10.7944420210105</v>
      </c>
      <c r="K147" s="1">
        <f>IF('Planungstool Heizlast'!$B$4="EU13L",Leistungsdaten!G147,IF('Planungstool Heizlast'!$B$4="EU08L",Leistungsdaten!C147,""))*$B$237</f>
        <v>4.2313540638297589</v>
      </c>
      <c r="L147" s="1">
        <f t="shared" si="2"/>
        <v>6.5630879571807412</v>
      </c>
    </row>
    <row r="148" spans="1:12" x14ac:dyDescent="0.25">
      <c r="A148">
        <v>5.9887685624631999</v>
      </c>
      <c r="B148">
        <v>10.8071703892985</v>
      </c>
      <c r="C148">
        <f>IF(A148&lt;'Planungstool Heizlast'!$B$9,'Planungstool Heizlast'!$B$22,IF(A148&gt;15,'Planungstool Heizlast'!$B$21,'Planungstool Heizlast'!$B$20/(15-'Planungstool Heizlast'!$B$9)*(15-Leistungsdaten!A148)+'Planungstool Heizlast'!$B$21))</f>
        <v>3.7827851712919935</v>
      </c>
      <c r="E148">
        <v>10.4780471786988</v>
      </c>
      <c r="F148">
        <v>16.7893433654462</v>
      </c>
      <c r="G148">
        <f>IF(E148&lt;'Planungstool Heizlast'!$B$9,'Planungstool Heizlast'!$B$22,IF(E148&gt;15,'Planungstool Heizlast'!$B$21,'Planungstool Heizlast'!$B$20/(15-'Planungstool Heizlast'!$B$9)*(15-Leistungsdaten!E148)+'Planungstool Heizlast'!$B$21))</f>
        <v>2.4390160795838089</v>
      </c>
      <c r="I148" s="1">
        <f>IF('Planungstool Heizlast'!$B$4="EU13L",Leistungsdaten!E148,IF('Planungstool Heizlast'!$B$4="EU08L",A148,""))</f>
        <v>5.9887685624631999</v>
      </c>
      <c r="J148" s="1">
        <f>IF(OR('Planungstool Heizlast'!$B$10="Fußbodenheizung 35°C",'Planungstool Heizlast'!$B$10="Niedertemperaturheizkörper 45°C"),IF('Planungstool Heizlast'!$B$4="EU13L",Leistungsdaten!F148,IF('Planungstool Heizlast'!$B$4="EU08L",Leistungsdaten!B148,"")),IF('Planungstool Heizlast'!$B$4="EU13L",Leistungsdaten!F148,IF('Planungstool Heizlast'!$B$4="EU08L",Leistungsdaten!B148,""))*0.9)*'Planungstool Heizlast'!$B$5</f>
        <v>10.8071703892985</v>
      </c>
      <c r="K148" s="1">
        <f>IF('Planungstool Heizlast'!$B$4="EU13L",Leistungsdaten!G148,IF('Planungstool Heizlast'!$B$4="EU08L",Leistungsdaten!C148,""))*$B$237</f>
        <v>4.1610636884211933</v>
      </c>
      <c r="L148" s="1">
        <f t="shared" si="2"/>
        <v>6.6461067008773069</v>
      </c>
    </row>
    <row r="149" spans="1:12" x14ac:dyDescent="0.25">
      <c r="A149">
        <v>6.2020327326530102</v>
      </c>
      <c r="B149">
        <v>10.819553194460999</v>
      </c>
      <c r="C149">
        <f>IF(A149&lt;'Planungstool Heizlast'!$B$9,'Planungstool Heizlast'!$B$22,IF(A149&gt;15,'Planungstool Heizlast'!$B$21,'Planungstool Heizlast'!$B$20/(15-'Planungstool Heizlast'!$B$9)*(15-Leistungsdaten!A149)+'Planungstool Heizlast'!$B$21))</f>
        <v>3.7189491243971888</v>
      </c>
      <c r="E149">
        <v>10.659405241766899</v>
      </c>
      <c r="F149">
        <v>16.736404019316701</v>
      </c>
      <c r="G149">
        <f>IF(E149&lt;'Planungstool Heizlast'!$B$9,'Planungstool Heizlast'!$B$22,IF(E149&gt;15,'Planungstool Heizlast'!$B$21,'Planungstool Heizlast'!$B$20/(15-'Planungstool Heizlast'!$B$9)*(15-Leistungsdaten!E149)+'Planungstool Heizlast'!$B$21))</f>
        <v>2.3847304402827385</v>
      </c>
      <c r="I149" s="1">
        <f>IF('Planungstool Heizlast'!$B$4="EU13L",Leistungsdaten!E149,IF('Planungstool Heizlast'!$B$4="EU08L",A149,""))</f>
        <v>6.2020327326530102</v>
      </c>
      <c r="J149" s="1">
        <f>IF(OR('Planungstool Heizlast'!$B$10="Fußbodenheizung 35°C",'Planungstool Heizlast'!$B$10="Niedertemperaturheizkörper 45°C"),IF('Planungstool Heizlast'!$B$4="EU13L",Leistungsdaten!F149,IF('Planungstool Heizlast'!$B$4="EU08L",Leistungsdaten!B149,"")),IF('Planungstool Heizlast'!$B$4="EU13L",Leistungsdaten!F149,IF('Planungstool Heizlast'!$B$4="EU08L",Leistungsdaten!B149,""))*0.9)*'Planungstool Heizlast'!$B$5</f>
        <v>10.819553194460999</v>
      </c>
      <c r="K149" s="1">
        <f>IF('Planungstool Heizlast'!$B$4="EU13L",Leistungsdaten!G149,IF('Planungstool Heizlast'!$B$4="EU08L",Leistungsdaten!C149,""))*$B$237</f>
        <v>4.0908440368369083</v>
      </c>
      <c r="L149" s="1">
        <f t="shared" ref="L149:L212" si="3">J149-K149</f>
        <v>6.7287091576240909</v>
      </c>
    </row>
    <row r="150" spans="1:12" x14ac:dyDescent="0.25">
      <c r="A150">
        <v>6.41508087021655</v>
      </c>
      <c r="B150">
        <v>10.8315889699858</v>
      </c>
      <c r="C150">
        <f>IF(A150&lt;'Planungstool Heizlast'!$B$9,'Planungstool Heizlast'!$B$22,IF(A150&gt;15,'Planungstool Heizlast'!$B$21,'Planungstool Heizlast'!$B$20/(15-'Planungstool Heizlast'!$B$9)*(15-Leistungsdaten!A150)+'Planungstool Heizlast'!$B$21))</f>
        <v>3.6551777422271199</v>
      </c>
      <c r="E150">
        <v>10.8981275932504</v>
      </c>
      <c r="F150">
        <v>16.799093833915499</v>
      </c>
      <c r="G150">
        <f>IF(E150&lt;'Planungstool Heizlast'!$B$9,'Planungstool Heizlast'!$B$22,IF(E150&gt;15,'Planungstool Heizlast'!$B$21,'Planungstool Heizlast'!$B$20/(15-'Planungstool Heizlast'!$B$9)*(15-Leistungsdaten!E150)+'Planungstool Heizlast'!$B$21))</f>
        <v>2.3132740338428954</v>
      </c>
      <c r="I150" s="1">
        <f>IF('Planungstool Heizlast'!$B$4="EU13L",Leistungsdaten!E150,IF('Planungstool Heizlast'!$B$4="EU08L",A150,""))</f>
        <v>6.41508087021655</v>
      </c>
      <c r="J150" s="1">
        <f>IF(OR('Planungstool Heizlast'!$B$10="Fußbodenheizung 35°C",'Planungstool Heizlast'!$B$10="Niedertemperaturheizkörper 45°C"),IF('Planungstool Heizlast'!$B$4="EU13L",Leistungsdaten!F150,IF('Planungstool Heizlast'!$B$4="EU08L",Leistungsdaten!B150,"")),IF('Planungstool Heizlast'!$B$4="EU13L",Leistungsdaten!F150,IF('Planungstool Heizlast'!$B$4="EU08L",Leistungsdaten!B150,""))*0.9)*'Planungstool Heizlast'!$B$5</f>
        <v>10.8315889699858</v>
      </c>
      <c r="K150" s="1">
        <f>IF('Planungstool Heizlast'!$B$4="EU13L",Leistungsdaten!G150,IF('Planungstool Heizlast'!$B$4="EU08L",Leistungsdaten!C150,""))*$B$237</f>
        <v>4.0206955164498321</v>
      </c>
      <c r="L150" s="1">
        <f t="shared" si="3"/>
        <v>6.810893453535968</v>
      </c>
    </row>
    <row r="151" spans="1:12" x14ac:dyDescent="0.25">
      <c r="A151">
        <v>6.6089033767638297</v>
      </c>
      <c r="B151">
        <v>10.805962255508099</v>
      </c>
      <c r="C151">
        <f>IF(A151&lt;'Planungstool Heizlast'!$B$9,'Planungstool Heizlast'!$B$22,IF(A151&gt;15,'Planungstool Heizlast'!$B$21,'Planungstool Heizlast'!$B$20/(15-'Planungstool Heizlast'!$B$9)*(15-Leistungsdaten!A151)+'Planungstool Heizlast'!$B$21))</f>
        <v>3.5971611395966416</v>
      </c>
      <c r="E151">
        <v>11.107806167897699</v>
      </c>
      <c r="F151">
        <v>16.803299522492701</v>
      </c>
      <c r="G151">
        <f>IF(E151&lt;'Planungstool Heizlast'!$B$9,'Planungstool Heizlast'!$B$22,IF(E151&gt;15,'Planungstool Heizlast'!$B$21,'Planungstool Heizlast'!$B$20/(15-'Planungstool Heizlast'!$B$9)*(15-Leistungsdaten!E151)+'Planungstool Heizlast'!$B$21))</f>
        <v>2.250511257929305</v>
      </c>
      <c r="I151" s="1">
        <f>IF('Planungstool Heizlast'!$B$4="EU13L",Leistungsdaten!E151,IF('Planungstool Heizlast'!$B$4="EU08L",A151,""))</f>
        <v>6.6089033767638297</v>
      </c>
      <c r="J151" s="1">
        <f>IF(OR('Planungstool Heizlast'!$B$10="Fußbodenheizung 35°C",'Planungstool Heizlast'!$B$10="Niedertemperaturheizkörper 45°C"),IF('Planungstool Heizlast'!$B$4="EU13L",Leistungsdaten!F151,IF('Planungstool Heizlast'!$B$4="EU08L",Leistungsdaten!B151,"")),IF('Planungstool Heizlast'!$B$4="EU13L",Leistungsdaten!F151,IF('Planungstool Heizlast'!$B$4="EU08L",Leistungsdaten!B151,""))*0.9)*'Planungstool Heizlast'!$B$5</f>
        <v>10.805962255508099</v>
      </c>
      <c r="K151" s="1">
        <f>IF('Planungstool Heizlast'!$B$4="EU13L",Leistungsdaten!G151,IF('Planungstool Heizlast'!$B$4="EU08L",Leistungsdaten!C151,""))*$B$237</f>
        <v>3.9568772535563062</v>
      </c>
      <c r="L151" s="1">
        <f t="shared" si="3"/>
        <v>6.849085001951793</v>
      </c>
    </row>
    <row r="152" spans="1:12" x14ac:dyDescent="0.25">
      <c r="A152">
        <v>6.8405241916484298</v>
      </c>
      <c r="B152">
        <v>10.8546137073425</v>
      </c>
      <c r="C152">
        <f>IF(A152&lt;'Planungstool Heizlast'!$B$9,'Planungstool Heizlast'!$B$22,IF(A152&gt;15,'Planungstool Heizlast'!$B$21,'Planungstool Heizlast'!$B$20/(15-'Planungstool Heizlast'!$B$9)*(15-Leistungsdaten!A152)+'Planungstool Heizlast'!$B$21))</f>
        <v>3.527830425545488</v>
      </c>
      <c r="E152">
        <v>11.317241892729299</v>
      </c>
      <c r="F152">
        <v>16.807057314696799</v>
      </c>
      <c r="G152">
        <f>IF(E152&lt;'Planungstool Heizlast'!$B$9,'Planungstool Heizlast'!$B$22,IF(E152&gt;15,'Planungstool Heizlast'!$B$21,'Planungstool Heizlast'!$B$20/(15-'Planungstool Heizlast'!$B$9)*(15-Leistungsdaten!E152)+'Planungstool Heizlast'!$B$21))</f>
        <v>2.1878211738898798</v>
      </c>
      <c r="I152" s="1">
        <f>IF('Planungstool Heizlast'!$B$4="EU13L",Leistungsdaten!E152,IF('Planungstool Heizlast'!$B$4="EU08L",A152,""))</f>
        <v>6.8405241916484298</v>
      </c>
      <c r="J152" s="1">
        <f>IF(OR('Planungstool Heizlast'!$B$10="Fußbodenheizung 35°C",'Planungstool Heizlast'!$B$10="Niedertemperaturheizkörper 45°C"),IF('Planungstool Heizlast'!$B$4="EU13L",Leistungsdaten!F152,IF('Planungstool Heizlast'!$B$4="EU08L",Leistungsdaten!B152,"")),IF('Planungstool Heizlast'!$B$4="EU13L",Leistungsdaten!F152,IF('Planungstool Heizlast'!$B$4="EU08L",Leistungsdaten!B152,""))*0.9)*'Planungstool Heizlast'!$B$5</f>
        <v>10.8546137073425</v>
      </c>
      <c r="K152" s="1">
        <f>IF('Planungstool Heizlast'!$B$4="EU13L",Leistungsdaten!G152,IF('Planungstool Heizlast'!$B$4="EU08L",Leistungsdaten!C152,""))*$B$237</f>
        <v>3.8806134681000373</v>
      </c>
      <c r="L152" s="1">
        <f t="shared" si="3"/>
        <v>6.9740002392424625</v>
      </c>
    </row>
    <row r="153" spans="1:12" x14ac:dyDescent="0.25">
      <c r="A153">
        <v>7.05291699423762</v>
      </c>
      <c r="B153">
        <v>10.865599877528799</v>
      </c>
      <c r="C153">
        <f>IF(A153&lt;'Planungstool Heizlast'!$B$9,'Planungstool Heizlast'!$B$22,IF(A153&gt;15,'Planungstool Heizlast'!$B$21,'Planungstool Heizlast'!$B$20/(15-'Planungstool Heizlast'!$B$9)*(15-Leistungsdaten!A153)+'Planungstool Heizlast'!$B$21))</f>
        <v>3.4642552038186727</v>
      </c>
      <c r="E153">
        <v>11.526433470895499</v>
      </c>
      <c r="F153">
        <v>16.810366097789199</v>
      </c>
      <c r="G153">
        <f>IF(E153&lt;'Planungstool Heizlast'!$B$9,'Planungstool Heizlast'!$B$22,IF(E153&gt;15,'Planungstool Heizlast'!$B$21,'Planungstool Heizlast'!$B$20/(15-'Planungstool Heizlast'!$B$9)*(15-Leistungsdaten!E153)+'Planungstool Heizlast'!$B$21))</f>
        <v>2.1252041699087121</v>
      </c>
      <c r="I153" s="1">
        <f>IF('Planungstool Heizlast'!$B$4="EU13L",Leistungsdaten!E153,IF('Planungstool Heizlast'!$B$4="EU08L",A153,""))</f>
        <v>7.05291699423762</v>
      </c>
      <c r="J153" s="1">
        <f>IF(OR('Planungstool Heizlast'!$B$10="Fußbodenheizung 35°C",'Planungstool Heizlast'!$B$10="Niedertemperaturheizkörper 45°C"),IF('Planungstool Heizlast'!$B$4="EU13L",Leistungsdaten!F153,IF('Planungstool Heizlast'!$B$4="EU08L",Leistungsdaten!B153,"")),IF('Planungstool Heizlast'!$B$4="EU13L",Leistungsdaten!F153,IF('Planungstool Heizlast'!$B$4="EU08L",Leistungsdaten!B153,""))*0.9)*'Planungstool Heizlast'!$B$5</f>
        <v>10.865599877528799</v>
      </c>
      <c r="K153" s="1">
        <f>IF('Planungstool Heizlast'!$B$4="EU13L",Leistungsdaten!G153,IF('Planungstool Heizlast'!$B$4="EU08L",Leistungsdaten!C153,""))*$B$237</f>
        <v>3.81068072420054</v>
      </c>
      <c r="L153" s="1">
        <f t="shared" si="3"/>
        <v>7.0549191533282594</v>
      </c>
    </row>
    <row r="154" spans="1:12" x14ac:dyDescent="0.25">
      <c r="A154">
        <v>7.2650890016906402</v>
      </c>
      <c r="B154">
        <v>10.876233434859101</v>
      </c>
      <c r="C154">
        <f>IF(A154&lt;'Planungstool Heizlast'!$B$9,'Planungstool Heizlast'!$B$22,IF(A154&gt;15,'Planungstool Heizlast'!$B$21,'Planungstool Heizlast'!$B$20/(15-'Planungstool Heizlast'!$B$9)*(15-Leistungsdaten!A154)+'Planungstool Heizlast'!$B$21))</f>
        <v>3.4007460723715979</v>
      </c>
      <c r="E154">
        <v>11.735379624909999</v>
      </c>
      <c r="F154">
        <v>16.813224788408601</v>
      </c>
      <c r="G154">
        <f>IF(E154&lt;'Planungstool Heizlast'!$B$9,'Planungstool Heizlast'!$B$22,IF(E154&gt;15,'Planungstool Heizlast'!$B$21,'Planungstool Heizlast'!$B$20/(15-'Planungstool Heizlast'!$B$9)*(15-Leistungsdaten!E154)+'Planungstool Heizlast'!$B$21))</f>
        <v>2.0626606283738758</v>
      </c>
      <c r="I154" s="1">
        <f>IF('Planungstool Heizlast'!$B$4="EU13L",Leistungsdaten!E154,IF('Planungstool Heizlast'!$B$4="EU08L",A154,""))</f>
        <v>7.2650890016906402</v>
      </c>
      <c r="J154" s="1">
        <f>IF(OR('Planungstool Heizlast'!$B$10="Fußbodenheizung 35°C",'Planungstool Heizlast'!$B$10="Niedertemperaturheizkörper 45°C"),IF('Planungstool Heizlast'!$B$4="EU13L",Leistungsdaten!F154,IF('Planungstool Heizlast'!$B$4="EU08L",Leistungsdaten!B154,"")),IF('Planungstool Heizlast'!$B$4="EU13L",Leistungsdaten!F154,IF('Planungstool Heizlast'!$B$4="EU08L",Leistungsdaten!B154,""))*0.9)*'Planungstool Heizlast'!$B$5</f>
        <v>10.876233434859101</v>
      </c>
      <c r="K154" s="1">
        <f>IF('Planungstool Heizlast'!$B$4="EU13L",Leistungsdaten!G154,IF('Planungstool Heizlast'!$B$4="EU08L",Leistungsdaten!C154,""))*$B$237</f>
        <v>3.740820679608758</v>
      </c>
      <c r="L154" s="1">
        <f t="shared" si="3"/>
        <v>7.1354127552503428</v>
      </c>
    </row>
    <row r="155" spans="1:12" x14ac:dyDescent="0.25">
      <c r="A155">
        <v>7.4770390701062404</v>
      </c>
      <c r="B155">
        <v>10.8865130544204</v>
      </c>
      <c r="C155">
        <f>IF(A155&lt;'Planungstool Heizlast'!$B$9,'Planungstool Heizlast'!$B$22,IF(A155&gt;15,'Planungstool Heizlast'!$B$21,'Planungstool Heizlast'!$B$20/(15-'Planungstool Heizlast'!$B$9)*(15-Leistungsdaten!A155)+'Planungstool Heizlast'!$B$21))</f>
        <v>3.3373033736065252</v>
      </c>
      <c r="E155">
        <v>11.9440790966542</v>
      </c>
      <c r="F155">
        <v>16.815632332577401</v>
      </c>
      <c r="G155">
        <f>IF(E155&lt;'Planungstool Heizlast'!$B$9,'Planungstool Heizlast'!$B$22,IF(E155&gt;15,'Planungstool Heizlast'!$B$21,'Planungstool Heizlast'!$B$20/(15-'Planungstool Heizlast'!$B$9)*(15-Leistungsdaten!E155)+'Planungstool Heizlast'!$B$21))</f>
        <v>2.000190925876141</v>
      </c>
      <c r="I155" s="1">
        <f>IF('Planungstool Heizlast'!$B$4="EU13L",Leistungsdaten!E155,IF('Planungstool Heizlast'!$B$4="EU08L",A155,""))</f>
        <v>7.4770390701062404</v>
      </c>
      <c r="J155" s="1">
        <f>IF(OR('Planungstool Heizlast'!$B$10="Fußbodenheizung 35°C",'Planungstool Heizlast'!$B$10="Niedertemperaturheizkörper 45°C"),IF('Planungstool Heizlast'!$B$4="EU13L",Leistungsdaten!F155,IF('Planungstool Heizlast'!$B$4="EU08L",Leistungsdaten!B155,"")),IF('Planungstool Heizlast'!$B$4="EU13L",Leistungsdaten!F155,IF('Planungstool Heizlast'!$B$4="EU08L",Leistungsdaten!B155,""))*0.9)*'Planungstool Heizlast'!$B$5</f>
        <v>10.8865130544204</v>
      </c>
      <c r="K155" s="1">
        <f>IF('Planungstool Heizlast'!$B$4="EU13L",Leistungsdaten!G155,IF('Planungstool Heizlast'!$B$4="EU08L",Leistungsdaten!C155,""))*$B$237</f>
        <v>3.671033710967178</v>
      </c>
      <c r="L155" s="1">
        <f t="shared" si="3"/>
        <v>7.2154793434532216</v>
      </c>
    </row>
    <row r="156" spans="1:12" x14ac:dyDescent="0.25">
      <c r="A156">
        <v>7.6691377306825004</v>
      </c>
      <c r="B156">
        <v>10.8582742419203</v>
      </c>
      <c r="C156">
        <f>IF(A156&lt;'Planungstool Heizlast'!$B$9,'Planungstool Heizlast'!$B$22,IF(A156&gt;15,'Planungstool Heizlast'!$B$21,'Planungstool Heizlast'!$B$20/(15-'Planungstool Heizlast'!$B$9)*(15-Leistungsdaten!A156)+'Planungstool Heizlast'!$B$21))</f>
        <v>3.2798027672268359</v>
      </c>
      <c r="E156">
        <v>12.152530647381299</v>
      </c>
      <c r="F156">
        <v>16.8175877057087</v>
      </c>
      <c r="G156">
        <f>IF(E156&lt;'Planungstool Heizlast'!$B$9,'Planungstool Heizlast'!$B$22,IF(E156&gt;15,'Planungstool Heizlast'!$B$21,'Planungstool Heizlast'!$B$20/(15-'Planungstool Heizlast'!$B$9)*(15-Leistungsdaten!E156)+'Planungstool Heizlast'!$B$21))</f>
        <v>1.9377954332077443</v>
      </c>
      <c r="I156" s="1">
        <f>IF('Planungstool Heizlast'!$B$4="EU13L",Leistungsdaten!E156,IF('Planungstool Heizlast'!$B$4="EU08L",A156,""))</f>
        <v>7.6691377306825004</v>
      </c>
      <c r="J156" s="1">
        <f>IF(OR('Planungstool Heizlast'!$B$10="Fußbodenheizung 35°C",'Planungstool Heizlast'!$B$10="Niedertemperaturheizkörper 45°C"),IF('Planungstool Heizlast'!$B$4="EU13L",Leistungsdaten!F156,IF('Planungstool Heizlast'!$B$4="EU08L",Leistungsdaten!B156,"")),IF('Planungstool Heizlast'!$B$4="EU13L",Leistungsdaten!F156,IF('Planungstool Heizlast'!$B$4="EU08L",Leistungsdaten!B156,""))*0.9)*'Planungstool Heizlast'!$B$5</f>
        <v>10.8582742419203</v>
      </c>
      <c r="K156" s="1">
        <f>IF('Planungstool Heizlast'!$B$4="EU13L",Leistungsdaten!G156,IF('Planungstool Heizlast'!$B$4="EU08L",Leistungsdaten!C156,""))*$B$237</f>
        <v>3.60778304394952</v>
      </c>
      <c r="L156" s="1">
        <f t="shared" si="3"/>
        <v>7.2504911979707805</v>
      </c>
    </row>
    <row r="157" spans="1:12" x14ac:dyDescent="0.25">
      <c r="A157">
        <v>7.9002689079437403</v>
      </c>
      <c r="B157">
        <v>10.9060053227771</v>
      </c>
      <c r="C157">
        <f>IF(A157&lt;'Planungstool Heizlast'!$B$9,'Planungstool Heizlast'!$B$22,IF(A157&gt;15,'Planungstool Heizlast'!$B$21,'Planungstool Heizlast'!$B$20/(15-'Planungstool Heizlast'!$B$9)*(15-Leistungsdaten!A157)+'Planungstool Heizlast'!$B$21))</f>
        <v>3.2106186156772898</v>
      </c>
      <c r="E157">
        <v>12.360733057721299</v>
      </c>
      <c r="F157">
        <v>16.819089912612899</v>
      </c>
      <c r="G157">
        <f>IF(E157&lt;'Planungstool Heizlast'!$B$9,'Planungstool Heizlast'!$B$22,IF(E157&gt;15,'Planungstool Heizlast'!$B$21,'Planungstool Heizlast'!$B$20/(15-'Planungstool Heizlast'!$B$9)*(15-Leistungsdaten!E157)+'Planungstool Heizlast'!$B$21))</f>
        <v>1.8754745153608949</v>
      </c>
      <c r="I157" s="1">
        <f>IF('Planungstool Heizlast'!$B$4="EU13L",Leistungsdaten!E157,IF('Planungstool Heizlast'!$B$4="EU08L",A157,""))</f>
        <v>7.9002689079437403</v>
      </c>
      <c r="J157" s="1">
        <f>IF(OR('Planungstool Heizlast'!$B$10="Fußbodenheizung 35°C",'Planungstool Heizlast'!$B$10="Niedertemperaturheizkörper 45°C"),IF('Planungstool Heizlast'!$B$4="EU13L",Leistungsdaten!F157,IF('Planungstool Heizlast'!$B$4="EU08L",Leistungsdaten!B157,"")),IF('Planungstool Heizlast'!$B$4="EU13L",Leistungsdaten!F157,IF('Planungstool Heizlast'!$B$4="EU08L",Leistungsdaten!B157,""))*0.9)*'Planungstool Heizlast'!$B$5</f>
        <v>10.9060053227771</v>
      </c>
      <c r="K157" s="1">
        <f>IF('Planungstool Heizlast'!$B$4="EU13L",Leistungsdaten!G157,IF('Planungstool Heizlast'!$B$4="EU08L",Leistungsdaten!C157,""))*$B$237</f>
        <v>3.5316804772450192</v>
      </c>
      <c r="L157" s="1">
        <f t="shared" si="3"/>
        <v>7.3743248455320805</v>
      </c>
    </row>
    <row r="158" spans="1:12" x14ac:dyDescent="0.25">
      <c r="A158">
        <v>8.1115464833617192</v>
      </c>
      <c r="B158">
        <v>10.9152154640541</v>
      </c>
      <c r="C158">
        <f>IF(A158&lt;'Planungstool Heizlast'!$B$9,'Planungstool Heizlast'!$B$22,IF(A158&gt;15,'Planungstool Heizlast'!$B$21,'Planungstool Heizlast'!$B$20/(15-'Planungstool Heizlast'!$B$9)*(15-Leistungsdaten!A158)+'Planungstool Heizlast'!$B$21))</f>
        <v>3.1473772132410582</v>
      </c>
      <c r="E158">
        <v>12.5686851276851</v>
      </c>
      <c r="F158">
        <v>16.820137987504602</v>
      </c>
      <c r="G158">
        <f>IF(E158&lt;'Planungstool Heizlast'!$B$9,'Planungstool Heizlast'!$B$22,IF(E158&gt;15,'Planungstool Heizlast'!$B$21,'Planungstool Heizlast'!$B$20/(15-'Planungstool Heizlast'!$B$9)*(15-Leistungsdaten!E158)+'Planungstool Heizlast'!$B$21))</f>
        <v>1.8132285315265451</v>
      </c>
      <c r="I158" s="1">
        <f>IF('Planungstool Heizlast'!$B$4="EU13L",Leistungsdaten!E158,IF('Planungstool Heizlast'!$B$4="EU08L",A158,""))</f>
        <v>8.1115464833617192</v>
      </c>
      <c r="J158" s="1">
        <f>IF(OR('Planungstool Heizlast'!$B$10="Fußbodenheizung 35°C",'Planungstool Heizlast'!$B$10="Niedertemperaturheizkörper 45°C"),IF('Planungstool Heizlast'!$B$4="EU13L",Leistungsdaten!F158,IF('Planungstool Heizlast'!$B$4="EU08L",Leistungsdaten!B158,"")),IF('Planungstool Heizlast'!$B$4="EU13L",Leistungsdaten!F158,IF('Planungstool Heizlast'!$B$4="EU08L",Leistungsdaten!B158,""))*0.9)*'Planungstool Heizlast'!$B$5</f>
        <v>10.9152154640541</v>
      </c>
      <c r="K158" s="1">
        <f>IF('Planungstool Heizlast'!$B$4="EU13L",Leistungsdaten!G158,IF('Planungstool Heizlast'!$B$4="EU08L",Leistungsdaten!C158,""))*$B$237</f>
        <v>3.4621149345651645</v>
      </c>
      <c r="L158" s="1">
        <f t="shared" si="3"/>
        <v>7.4531005294889354</v>
      </c>
    </row>
    <row r="159" spans="1:12" x14ac:dyDescent="0.25">
      <c r="A159">
        <v>8.3225977317849296</v>
      </c>
      <c r="B159">
        <v>10.924066652601599</v>
      </c>
      <c r="C159">
        <f>IF(A159&lt;'Planungstool Heizlast'!$B$9,'Planungstool Heizlast'!$B$22,IF(A159&gt;15,'Planungstool Heizlast'!$B$21,'Planungstool Heizlast'!$B$20/(15-'Planungstool Heizlast'!$B$9)*(15-Leistungsdaten!A159)+'Planungstool Heizlast'!$B$21))</f>
        <v>3.0842035569275752</v>
      </c>
      <c r="E159">
        <v>12.7763856766693</v>
      </c>
      <c r="F159">
        <v>16.820730994009999</v>
      </c>
      <c r="G159">
        <f>IF(E159&lt;'Planungstool Heizlast'!$B$9,'Planungstool Heizlast'!$B$22,IF(E159&gt;15,'Planungstool Heizlast'!$B$21,'Planungstool Heizlast'!$B$20/(15-'Planungstool Heizlast'!$B$9)*(15-Leistungsdaten!E159)+'Planungstool Heizlast'!$B$21))</f>
        <v>1.7510578350929555</v>
      </c>
      <c r="I159" s="1">
        <f>IF('Planungstool Heizlast'!$B$4="EU13L",Leistungsdaten!E159,IF('Planungstool Heizlast'!$B$4="EU08L",A159,""))</f>
        <v>8.3225977317849296</v>
      </c>
      <c r="J159" s="1">
        <f>IF(OR('Planungstool Heizlast'!$B$10="Fußbodenheizung 35°C",'Planungstool Heizlast'!$B$10="Niedertemperaturheizkörper 45°C"),IF('Planungstool Heizlast'!$B$4="EU13L",Leistungsdaten!F159,IF('Planungstool Heizlast'!$B$4="EU08L",Leistungsdaten!B159,"")),IF('Planungstool Heizlast'!$B$4="EU13L",Leistungsdaten!F159,IF('Planungstool Heizlast'!$B$4="EU08L",Leistungsdaten!B159,""))*0.9)*'Planungstool Heizlast'!$B$5</f>
        <v>10.924066652601599</v>
      </c>
      <c r="K159" s="1">
        <f>IF('Planungstool Heizlast'!$B$4="EU13L",Leistungsdaten!G159,IF('Planungstool Heizlast'!$B$4="EU08L",Leistungsdaten!C159,""))*$B$237</f>
        <v>3.392623912620333</v>
      </c>
      <c r="L159" s="1">
        <f t="shared" si="3"/>
        <v>7.5314427399812658</v>
      </c>
    </row>
    <row r="160" spans="1:12" x14ac:dyDescent="0.25">
      <c r="A160">
        <v>8.5334216032621395</v>
      </c>
      <c r="B160">
        <v>10.932557706044101</v>
      </c>
      <c r="C160">
        <f>IF(A160&lt;'Planungstool Heizlast'!$B$9,'Planungstool Heizlast'!$B$22,IF(A160&gt;15,'Planungstool Heizlast'!$B$21,'Planungstool Heizlast'!$B$20/(15-'Planungstool Heizlast'!$B$9)*(15-Leistungsdaten!A160)+'Planungstool Heizlast'!$B$21))</f>
        <v>3.021097961017182</v>
      </c>
      <c r="E160">
        <v>12.9838335434612</v>
      </c>
      <c r="F160">
        <v>16.820868025173699</v>
      </c>
      <c r="G160">
        <f>IF(E160&lt;'Planungstool Heizlast'!$B$9,'Planungstool Heizlast'!$B$22,IF(E160&gt;15,'Planungstool Heizlast'!$B$21,'Planungstool Heizlast'!$B$20/(15-'Planungstool Heizlast'!$B$9)*(15-Leistungsdaten!E160)+'Planungstool Heizlast'!$B$21))</f>
        <v>1.6889627736441959</v>
      </c>
      <c r="I160" s="1">
        <f>IF('Planungstool Heizlast'!$B$4="EU13L",Leistungsdaten!E160,IF('Planungstool Heizlast'!$B$4="EU08L",A160,""))</f>
        <v>8.5334216032621395</v>
      </c>
      <c r="J160" s="1">
        <f>IF(OR('Planungstool Heizlast'!$B$10="Fußbodenheizung 35°C",'Planungstool Heizlast'!$B$10="Niedertemperaturheizkörper 45°C"),IF('Planungstool Heizlast'!$B$4="EU13L",Leistungsdaten!F160,IF('Planungstool Heizlast'!$B$4="EU08L",Leistungsdaten!B160,"")),IF('Planungstool Heizlast'!$B$4="EU13L",Leistungsdaten!F160,IF('Planungstool Heizlast'!$B$4="EU08L",Leistungsdaten!B160,""))*0.9)*'Planungstool Heizlast'!$B$5</f>
        <v>10.932557706044101</v>
      </c>
      <c r="K160" s="1">
        <f>IF('Planungstool Heizlast'!$B$4="EU13L",Leistungsdaten!G160,IF('Planungstool Heizlast'!$B$4="EU08L",Leistungsdaten!C160,""))*$B$237</f>
        <v>3.3232077571189005</v>
      </c>
      <c r="L160" s="1">
        <f t="shared" si="3"/>
        <v>7.6093499489251997</v>
      </c>
    </row>
    <row r="161" spans="1:12" x14ac:dyDescent="0.25">
      <c r="A161">
        <v>8.7440170667083805</v>
      </c>
      <c r="B161">
        <v>10.9406874706292</v>
      </c>
      <c r="C161">
        <f>IF(A161&lt;'Planungstool Heizlast'!$B$9,'Planungstool Heizlast'!$B$22,IF(A161&gt;15,'Planungstool Heizlast'!$B$21,'Planungstool Heizlast'!$B$20/(15-'Planungstool Heizlast'!$B$9)*(15-Leistungsdaten!A161)+'Planungstool Heizlast'!$B$21))</f>
        <v>2.9580607341430083</v>
      </c>
      <c r="E161">
        <v>13.191027586243701</v>
      </c>
      <c r="F161">
        <v>16.8205482034667</v>
      </c>
      <c r="G161">
        <f>IF(E161&lt;'Planungstool Heizlast'!$B$9,'Planungstool Heizlast'!$B$22,IF(E161&gt;15,'Planungstool Heizlast'!$B$21,'Planungstool Heizlast'!$B$20/(15-'Planungstool Heizlast'!$B$9)*(15-Leistungsdaten!E161)+'Planungstool Heizlast'!$B$21))</f>
        <v>1.6269436889586806</v>
      </c>
      <c r="I161" s="1">
        <f>IF('Planungstool Heizlast'!$B$4="EU13L",Leistungsdaten!E161,IF('Planungstool Heizlast'!$B$4="EU08L",A161,""))</f>
        <v>8.7440170667083805</v>
      </c>
      <c r="J161" s="1">
        <f>IF(OR('Planungstool Heizlast'!$B$10="Fußbodenheizung 35°C",'Planungstool Heizlast'!$B$10="Niedertemperaturheizkörper 45°C"),IF('Planungstool Heizlast'!$B$4="EU13L",Leistungsdaten!F161,IF('Planungstool Heizlast'!$B$4="EU08L",Leistungsdaten!B161,"")),IF('Planungstool Heizlast'!$B$4="EU13L",Leistungsdaten!F161,IF('Planungstool Heizlast'!$B$4="EU08L",Leistungsdaten!B161,""))*0.9)*'Planungstool Heizlast'!$B$5</f>
        <v>10.9406874706292</v>
      </c>
      <c r="K161" s="1">
        <f>IF('Planungstool Heizlast'!$B$4="EU13L",Leistungsdaten!G161,IF('Planungstool Heizlast'!$B$4="EU08L",Leistungsdaten!C161,""))*$B$237</f>
        <v>3.2538668075573094</v>
      </c>
      <c r="L161" s="1">
        <f t="shared" si="3"/>
        <v>7.6868206630718907</v>
      </c>
    </row>
    <row r="162" spans="1:12" x14ac:dyDescent="0.25">
      <c r="A162">
        <v>8.9543831099308004</v>
      </c>
      <c r="B162">
        <v>10.9484548212671</v>
      </c>
      <c r="C162">
        <f>IF(A162&lt;'Planungstool Heizlast'!$B$9,'Planungstool Heizlast'!$B$22,IF(A162&gt;15,'Planungstool Heizlast'!$B$21,'Planungstool Heizlast'!$B$20/(15-'Planungstool Heizlast'!$B$9)*(15-Leistungsdaten!A162)+'Planungstool Heizlast'!$B$21))</f>
        <v>2.8950921792832354</v>
      </c>
      <c r="E162">
        <v>13.3979666825997</v>
      </c>
      <c r="F162">
        <v>16.819770680793201</v>
      </c>
      <c r="G162">
        <f>IF(E162&lt;'Planungstool Heizlast'!$B$9,'Planungstool Heizlast'!$B$22,IF(E162&gt;15,'Planungstool Heizlast'!$B$21,'Planungstool Heizlast'!$B$20/(15-'Planungstool Heizlast'!$B$9)*(15-Leistungsdaten!E162)+'Planungstool Heizlast'!$B$21))</f>
        <v>1.565000917007852</v>
      </c>
      <c r="I162" s="1">
        <f>IF('Planungstool Heizlast'!$B$4="EU13L",Leistungsdaten!E162,IF('Planungstool Heizlast'!$B$4="EU08L",A162,""))</f>
        <v>8.9543831099308004</v>
      </c>
      <c r="J162" s="1">
        <f>IF(OR('Planungstool Heizlast'!$B$10="Fußbodenheizung 35°C",'Planungstool Heizlast'!$B$10="Niedertemperaturheizkörper 45°C"),IF('Planungstool Heizlast'!$B$4="EU13L",Leistungsdaten!F162,IF('Planungstool Heizlast'!$B$4="EU08L",Leistungsdaten!B162,"")),IF('Planungstool Heizlast'!$B$4="EU13L",Leistungsdaten!F162,IF('Planungstool Heizlast'!$B$4="EU08L",Leistungsdaten!B162,""))*0.9)*'Planungstool Heizlast'!$B$5</f>
        <v>10.9484548212671</v>
      </c>
      <c r="K162" s="1">
        <f>IF('Planungstool Heizlast'!$B$4="EU13L",Leistungsdaten!G162,IF('Planungstool Heizlast'!$B$4="EU08L",Leistungsdaten!C162,""))*$B$237</f>
        <v>3.184601397211559</v>
      </c>
      <c r="L162" s="1">
        <f t="shared" si="3"/>
        <v>7.7638534240555419</v>
      </c>
    </row>
    <row r="163" spans="1:12" x14ac:dyDescent="0.25">
      <c r="A163">
        <v>9.1645187396545396</v>
      </c>
      <c r="B163">
        <v>10.955858661569501</v>
      </c>
      <c r="C163">
        <f>IF(A163&lt;'Planungstool Heizlast'!$B$9,'Planungstool Heizlast'!$B$22,IF(A163&gt;15,'Planungstool Heizlast'!$B$21,'Planungstool Heizlast'!$B$20/(15-'Planungstool Heizlast'!$B$9)*(15-Leistungsdaten!A163)+'Planungstool Heizlast'!$B$21))</f>
        <v>2.8321925937533505</v>
      </c>
      <c r="E163">
        <v>13.604649729517901</v>
      </c>
      <c r="F163">
        <v>16.818534638499202</v>
      </c>
      <c r="G163">
        <f>IF(E163&lt;'Planungstool Heizlast'!$B$9,'Planungstool Heizlast'!$B$22,IF(E163&gt;15,'Planungstool Heizlast'!$B$21,'Planungstool Heizlast'!$B$20/(15-'Planungstool Heizlast'!$B$9)*(15-Leistungsdaten!E163)+'Planungstool Heizlast'!$B$21))</f>
        <v>1.503134787954441</v>
      </c>
      <c r="I163" s="1">
        <f>IF('Planungstool Heizlast'!$B$4="EU13L",Leistungsdaten!E163,IF('Planungstool Heizlast'!$B$4="EU08L",A163,""))</f>
        <v>9.1645187396545396</v>
      </c>
      <c r="J163" s="1">
        <f>IF(OR('Planungstool Heizlast'!$B$10="Fußbodenheizung 35°C",'Planungstool Heizlast'!$B$10="Niedertemperaturheizkörper 45°C"),IF('Planungstool Heizlast'!$B$4="EU13L",Leistungsdaten!F163,IF('Planungstool Heizlast'!$B$4="EU08L",Leistungsdaten!B163,"")),IF('Planungstool Heizlast'!$B$4="EU13L",Leistungsdaten!F163,IF('Planungstool Heizlast'!$B$4="EU08L",Leistungsdaten!B163,""))*0.9)*'Planungstool Heizlast'!$B$5</f>
        <v>10.955858661569501</v>
      </c>
      <c r="K163" s="1">
        <f>IF('Planungstool Heizlast'!$B$4="EU13L",Leistungsdaten!G163,IF('Planungstool Heizlast'!$B$4="EU08L",Leistungsdaten!C163,""))*$B$237</f>
        <v>3.1154118531286858</v>
      </c>
      <c r="L163" s="1">
        <f t="shared" si="3"/>
        <v>7.8404468084408148</v>
      </c>
    </row>
    <row r="164" spans="1:12" x14ac:dyDescent="0.25">
      <c r="A164">
        <v>9.3744229815487792</v>
      </c>
      <c r="B164">
        <v>10.962897923889299</v>
      </c>
      <c r="C164">
        <f>IF(A164&lt;'Planungstool Heizlast'!$B$9,'Planungstool Heizlast'!$B$22,IF(A164&gt;15,'Planungstool Heizlast'!$B$21,'Planungstool Heizlast'!$B$20/(15-'Planungstool Heizlast'!$B$9)*(15-Leistungsdaten!A164)+'Planungstool Heizlast'!$B$21))</f>
        <v>2.7693622691983473</v>
      </c>
      <c r="E164">
        <v>13.811075643397601</v>
      </c>
      <c r="F164">
        <v>16.816839287379398</v>
      </c>
      <c r="G164">
        <f>IF(E164&lt;'Planungstool Heizlast'!$B$9,'Planungstool Heizlast'!$B$22,IF(E164&gt;15,'Planungstool Heizlast'!$B$21,'Planungstool Heizlast'!$B$20/(15-'Planungstool Heizlast'!$B$9)*(15-Leistungsdaten!E164)+'Planungstool Heizlast'!$B$21))</f>
        <v>1.4413456261510338</v>
      </c>
      <c r="I164" s="1">
        <f>IF('Planungstool Heizlast'!$B$4="EU13L",Leistungsdaten!E164,IF('Planungstool Heizlast'!$B$4="EU08L",A164,""))</f>
        <v>9.3744229815487792</v>
      </c>
      <c r="J164" s="1">
        <f>IF(OR('Planungstool Heizlast'!$B$10="Fußbodenheizung 35°C",'Planungstool Heizlast'!$B$10="Niedertemperaturheizkörper 45°C"),IF('Planungstool Heizlast'!$B$4="EU13L",Leistungsdaten!F164,IF('Planungstool Heizlast'!$B$4="EU08L",Leistungsdaten!B164,"")),IF('Planungstool Heizlast'!$B$4="EU13L",Leistungsdaten!F164,IF('Planungstool Heizlast'!$B$4="EU08L",Leistungsdaten!B164,""))*0.9)*'Planungstool Heizlast'!$B$5</f>
        <v>10.962897923889299</v>
      </c>
      <c r="K164" s="1">
        <f>IF('Planungstool Heizlast'!$B$4="EU13L",Leistungsdaten!G164,IF('Planungstool Heizlast'!$B$4="EU08L",Leistungsdaten!C164,""))*$B$237</f>
        <v>3.0462984961181823</v>
      </c>
      <c r="L164" s="1">
        <f t="shared" si="3"/>
        <v>7.9165994277711169</v>
      </c>
    </row>
    <row r="165" spans="1:12" x14ac:dyDescent="0.25">
      <c r="A165">
        <v>9.5840948802528505</v>
      </c>
      <c r="B165">
        <v>10.9695715693606</v>
      </c>
      <c r="C165">
        <f>IF(A165&lt;'Planungstool Heizlast'!$B$9,'Planungstool Heizlast'!$B$22,IF(A165&gt;15,'Planungstool Heizlast'!$B$21,'Planungstool Heizlast'!$B$20/(15-'Planungstool Heizlast'!$B$9)*(15-Leistungsdaten!A165)+'Planungstool Heizlast'!$B$21))</f>
        <v>2.706601491584915</v>
      </c>
      <c r="E165">
        <v>14.017243360053801</v>
      </c>
      <c r="F165">
        <v>16.814683867685599</v>
      </c>
      <c r="G165">
        <f>IF(E165&lt;'Planungstool Heizlast'!$B$9,'Planungstool Heizlast'!$B$22,IF(E165&gt;15,'Planungstool Heizlast'!$B$21,'Planungstool Heizlast'!$B$20/(15-'Planungstool Heizlast'!$B$9)*(15-Leistungsdaten!E165)+'Planungstool Heizlast'!$B$21))</f>
        <v>1.3796337501385443</v>
      </c>
      <c r="I165" s="1">
        <f>IF('Planungstool Heizlast'!$B$4="EU13L",Leistungsdaten!E165,IF('Planungstool Heizlast'!$B$4="EU08L",A165,""))</f>
        <v>9.5840948802528505</v>
      </c>
      <c r="J165" s="1">
        <f>IF(OR('Planungstool Heizlast'!$B$10="Fußbodenheizung 35°C",'Planungstool Heizlast'!$B$10="Niedertemperaturheizkörper 45°C"),IF('Planungstool Heizlast'!$B$4="EU13L",Leistungsdaten!F165,IF('Planungstool Heizlast'!$B$4="EU08L",Leistungsdaten!B165,"")),IF('Planungstool Heizlast'!$B$4="EU13L",Leistungsdaten!F165,IF('Planungstool Heizlast'!$B$4="EU08L",Leistungsdaten!B165,""))*0.9)*'Planungstool Heizlast'!$B$5</f>
        <v>10.9695715693606</v>
      </c>
      <c r="K165" s="1">
        <f>IF('Planungstool Heizlast'!$B$4="EU13L",Leistungsdaten!G165,IF('Planungstool Heizlast'!$B$4="EU08L",Leistungsdaten!C165,""))*$B$237</f>
        <v>2.9772616407434067</v>
      </c>
      <c r="L165" s="1">
        <f t="shared" si="3"/>
        <v>7.9923099286171926</v>
      </c>
    </row>
    <row r="166" spans="1:12" x14ac:dyDescent="0.25">
      <c r="A166">
        <v>9.7935334994024998</v>
      </c>
      <c r="B166">
        <v>10.9758785879377</v>
      </c>
      <c r="C166">
        <f>IF(A166&lt;'Planungstool Heizlast'!$B$9,'Planungstool Heizlast'!$B$22,IF(A166&gt;15,'Planungstool Heizlast'!$B$21,'Planungstool Heizlast'!$B$20/(15-'Planungstool Heizlast'!$B$9)*(15-Leistungsdaten!A166)+'Planungstool Heizlast'!$B$21))</f>
        <v>2.6439105411935726</v>
      </c>
      <c r="E166">
        <v>14.2231518347226</v>
      </c>
      <c r="F166">
        <v>16.8120676491348</v>
      </c>
      <c r="G166">
        <f>IF(E166&lt;'Planungstool Heizlast'!$B$9,'Planungstool Heizlast'!$B$22,IF(E166&gt;15,'Planungstool Heizlast'!$B$21,'Planungstool Heizlast'!$B$20/(15-'Planungstool Heizlast'!$B$9)*(15-Leistungsdaten!E166)+'Planungstool Heizlast'!$B$21))</f>
        <v>1.3179994726445967</v>
      </c>
      <c r="I166" s="1">
        <f>IF('Planungstool Heizlast'!$B$4="EU13L",Leistungsdaten!E166,IF('Planungstool Heizlast'!$B$4="EU08L",A166,""))</f>
        <v>9.7935334994024998</v>
      </c>
      <c r="J166" s="1">
        <f>IF(OR('Planungstool Heizlast'!$B$10="Fußbodenheizung 35°C",'Planungstool Heizlast'!$B$10="Niedertemperaturheizkörper 45°C"),IF('Planungstool Heizlast'!$B$4="EU13L",Leistungsdaten!F166,IF('Planungstool Heizlast'!$B$4="EU08L",Leistungsdaten!B166,"")),IF('Planungstool Heizlast'!$B$4="EU13L",Leistungsdaten!F166,IF('Planungstool Heizlast'!$B$4="EU08L",Leistungsdaten!B166,""))*0.9)*'Planungstool Heizlast'!$B$5</f>
        <v>10.9758785879377</v>
      </c>
      <c r="K166" s="1">
        <f>IF('Planungstool Heizlast'!$B$4="EU13L",Leistungsdaten!G166,IF('Planungstool Heizlast'!$B$4="EU08L",Leistungsdaten!C166,""))*$B$237</f>
        <v>2.9083015953129303</v>
      </c>
      <c r="L166" s="1">
        <f t="shared" si="3"/>
        <v>8.0675769926247689</v>
      </c>
    </row>
    <row r="167" spans="1:12" x14ac:dyDescent="0.25">
      <c r="A167">
        <v>10.0027379216562</v>
      </c>
      <c r="B167">
        <v>10.981817998435799</v>
      </c>
      <c r="C167">
        <f>IF(A167&lt;'Planungstool Heizlast'!$B$9,'Planungstool Heizlast'!$B$22,IF(A167&gt;15,'Planungstool Heizlast'!$B$21,'Planungstool Heizlast'!$B$20/(15-'Planungstool Heizlast'!$B$9)*(15-Leistungsdaten!A167)+'Planungstool Heizlast'!$B$21))</f>
        <v>2.5812896926107949</v>
      </c>
      <c r="E167">
        <v>14.428800042066801</v>
      </c>
      <c r="F167">
        <v>16.808989930916901</v>
      </c>
      <c r="G167">
        <f>IF(E167&lt;'Planungstool Heizlast'!$B$9,'Planungstool Heizlast'!$B$22,IF(E167&gt;15,'Planungstool Heizlast'!$B$21,'Planungstool Heizlast'!$B$20/(15-'Planungstool Heizlast'!$B$9)*(15-Leistungsdaten!E167)+'Planungstool Heizlast'!$B$21))</f>
        <v>1.2564431005818497</v>
      </c>
      <c r="I167" s="1">
        <f>IF('Planungstool Heizlast'!$B$4="EU13L",Leistungsdaten!E167,IF('Planungstool Heizlast'!$B$4="EU08L",A167,""))</f>
        <v>10.0027379216562</v>
      </c>
      <c r="J167" s="1">
        <f>IF(OR('Planungstool Heizlast'!$B$10="Fußbodenheizung 35°C",'Planungstool Heizlast'!$B$10="Niedertemperaturheizkörper 45°C"),IF('Planungstool Heizlast'!$B$4="EU13L",Leistungsdaten!F167,IF('Planungstool Heizlast'!$B$4="EU08L",Leistungsdaten!B167,"")),IF('Planungstool Heizlast'!$B$4="EU13L",Leistungsdaten!F167,IF('Planungstool Heizlast'!$B$4="EU08L",Leistungsdaten!B167,""))*0.9)*'Planungstool Heizlast'!$B$5</f>
        <v>10.981817998435799</v>
      </c>
      <c r="K167" s="1">
        <f>IF('Planungstool Heizlast'!$B$4="EU13L",Leistungsdaten!G167,IF('Planungstool Heizlast'!$B$4="EU08L",Leistungsdaten!C167,""))*$B$237</f>
        <v>2.8394186618718744</v>
      </c>
      <c r="L167" s="1">
        <f t="shared" si="3"/>
        <v>8.1423993365639245</v>
      </c>
    </row>
    <row r="168" spans="1:12" x14ac:dyDescent="0.25">
      <c r="A168">
        <v>10.2117072487213</v>
      </c>
      <c r="B168">
        <v>10.987388848570401</v>
      </c>
      <c r="C168">
        <f>IF(A168&lt;'Planungstool Heizlast'!$B$9,'Planungstool Heizlast'!$B$22,IF(A168&gt;15,'Planungstool Heizlast'!$B$21,'Planungstool Heizlast'!$B$20/(15-'Planungstool Heizlast'!$B$9)*(15-Leistungsdaten!A168)+'Planungstool Heizlast'!$B$21))</f>
        <v>2.5187392147211858</v>
      </c>
      <c r="E168">
        <v>14.634186976181001</v>
      </c>
      <c r="F168">
        <v>16.805450041703601</v>
      </c>
      <c r="G168">
        <f>IF(E168&lt;'Planungstool Heizlast'!$B$9,'Planungstool Heizlast'!$B$22,IF(E168&gt;15,'Planungstool Heizlast'!$B$21,'Planungstool Heizlast'!$B$20/(15-'Planungstool Heizlast'!$B$9)*(15-Leistungsdaten!E168)+'Planungstool Heizlast'!$B$21))</f>
        <v>1.1949649350464711</v>
      </c>
      <c r="I168" s="1">
        <f>IF('Planungstool Heizlast'!$B$4="EU13L",Leistungsdaten!E168,IF('Planungstool Heizlast'!$B$4="EU08L",A168,""))</f>
        <v>10.2117072487213</v>
      </c>
      <c r="J168" s="1">
        <f>IF(OR('Planungstool Heizlast'!$B$10="Fußbodenheizung 35°C",'Planungstool Heizlast'!$B$10="Niedertemperaturheizkörper 45°C"),IF('Planungstool Heizlast'!$B$4="EU13L",Leistungsdaten!F168,IF('Planungstool Heizlast'!$B$4="EU08L",Leistungsdaten!B168,"")),IF('Planungstool Heizlast'!$B$4="EU13L",Leistungsdaten!F168,IF('Planungstool Heizlast'!$B$4="EU08L",Leistungsdaten!B168,""))*0.9)*'Planungstool Heizlast'!$B$5</f>
        <v>10.987388848570401</v>
      </c>
      <c r="K168" s="1">
        <f>IF('Planungstool Heizlast'!$B$4="EU13L",Leistungsdaten!G168,IF('Planungstool Heizlast'!$B$4="EU08L",Leistungsdaten!C168,""))*$B$237</f>
        <v>2.7706131361933046</v>
      </c>
      <c r="L168" s="1">
        <f t="shared" si="3"/>
        <v>8.2167757123770961</v>
      </c>
    </row>
    <row r="169" spans="1:12" x14ac:dyDescent="0.25">
      <c r="A169">
        <v>10.4204406013809</v>
      </c>
      <c r="B169">
        <v>10.992590214997801</v>
      </c>
      <c r="C169">
        <f>IF(A169&lt;'Planungstool Heizlast'!$B$9,'Planungstool Heizlast'!$B$22,IF(A169&gt;15,'Planungstool Heizlast'!$B$21,'Planungstool Heizlast'!$B$20/(15-'Planungstool Heizlast'!$B$9)*(15-Leistungsdaten!A169)+'Planungstool Heizlast'!$B$21))</f>
        <v>2.4562593706994322</v>
      </c>
      <c r="E169">
        <v>14.8393116505974</v>
      </c>
      <c r="F169">
        <v>16.8014473396561</v>
      </c>
      <c r="G169">
        <f>IF(E169&lt;'Planungstool Heizlast'!$B$9,'Planungstool Heizlast'!$B$22,IF(E169&gt;15,'Planungstool Heizlast'!$B$21,'Planungstool Heizlast'!$B$20/(15-'Planungstool Heizlast'!$B$9)*(15-Leistungsdaten!E169)+'Planungstool Heizlast'!$B$21))</f>
        <v>1.1335652713164006</v>
      </c>
      <c r="I169" s="1">
        <f>IF('Planungstool Heizlast'!$B$4="EU13L",Leistungsdaten!E169,IF('Planungstool Heizlast'!$B$4="EU08L",A169,""))</f>
        <v>10.4204406013809</v>
      </c>
      <c r="J169" s="1">
        <f>IF(OR('Planungstool Heizlast'!$B$10="Fußbodenheizung 35°C",'Planungstool Heizlast'!$B$10="Niedertemperaturheizkörper 45°C"),IF('Planungstool Heizlast'!$B$4="EU13L",Leistungsdaten!F169,IF('Planungstool Heizlast'!$B$4="EU08L",Leistungsdaten!B169,"")),IF('Planungstool Heizlast'!$B$4="EU13L",Leistungsdaten!F169,IF('Planungstool Heizlast'!$B$4="EU08L",Leistungsdaten!B169,""))*0.9)*'Planungstool Heizlast'!$B$5</f>
        <v>10.992590214997801</v>
      </c>
      <c r="K169" s="1">
        <f>IF('Planungstool Heizlast'!$B$4="EU13L",Leistungsdaten!G169,IF('Planungstool Heizlast'!$B$4="EU08L",Leistungsdaten!C169,""))*$B$237</f>
        <v>2.7018853077693756</v>
      </c>
      <c r="L169" s="1">
        <f t="shared" si="3"/>
        <v>8.2907049072284256</v>
      </c>
    </row>
    <row r="170" spans="1:12" x14ac:dyDescent="0.25">
      <c r="A170">
        <v>10.6289371195199</v>
      </c>
      <c r="B170">
        <v>10.997421203355</v>
      </c>
      <c r="C170">
        <f>IF(A170&lt;'Planungstool Heizlast'!$B$9,'Planungstool Heizlast'!$B$22,IF(A170&gt;15,'Planungstool Heizlast'!$B$21,'Planungstool Heizlast'!$B$20/(15-'Planungstool Heizlast'!$B$9)*(15-Leistungsdaten!A170)+'Planungstool Heizlast'!$B$21))</f>
        <v>2.3938504180025073</v>
      </c>
      <c r="E170">
        <v>15.044173098290999</v>
      </c>
      <c r="F170">
        <v>16.796981212434101</v>
      </c>
      <c r="G170">
        <f>IF(E170&lt;'Planungstool Heizlast'!$B$9,'Planungstool Heizlast'!$B$22,IF(E170&gt;15,'Planungstool Heizlast'!$B$21,'Planungstool Heizlast'!$B$20/(15-'Planungstool Heizlast'!$B$9)*(15-Leistungsdaten!E170)+'Planungstool Heizlast'!$B$21))</f>
        <v>1.085466666666667</v>
      </c>
      <c r="I170" s="1">
        <f>IF('Planungstool Heizlast'!$B$4="EU13L",Leistungsdaten!E170,IF('Planungstool Heizlast'!$B$4="EU08L",A170,""))</f>
        <v>10.6289371195199</v>
      </c>
      <c r="J170" s="1">
        <f>IF(OR('Planungstool Heizlast'!$B$10="Fußbodenheizung 35°C",'Planungstool Heizlast'!$B$10="Niedertemperaturheizkörper 45°C"),IF('Planungstool Heizlast'!$B$4="EU13L",Leistungsdaten!F170,IF('Planungstool Heizlast'!$B$4="EU08L",Leistungsdaten!B170,"")),IF('Planungstool Heizlast'!$B$4="EU13L",Leistungsdaten!F170,IF('Planungstool Heizlast'!$B$4="EU08L",Leistungsdaten!B170,""))*0.9)*'Planungstool Heizlast'!$B$5</f>
        <v>10.997421203355</v>
      </c>
      <c r="K170" s="1">
        <f>IF('Planungstool Heizlast'!$B$4="EU13L",Leistungsdaten!G170,IF('Planungstool Heizlast'!$B$4="EU08L",Leistungsdaten!C170,""))*$B$237</f>
        <v>2.6332354598027581</v>
      </c>
      <c r="L170" s="1">
        <f t="shared" si="3"/>
        <v>8.3641857435522411</v>
      </c>
    </row>
    <row r="171" spans="1:12" x14ac:dyDescent="0.25">
      <c r="A171">
        <v>10.8371959621517</v>
      </c>
      <c r="B171">
        <v>11.0018809483</v>
      </c>
      <c r="C171">
        <f>IF(A171&lt;'Planungstool Heizlast'!$B$9,'Planungstool Heizlast'!$B$22,IF(A171&gt;15,'Planungstool Heizlast'!$B$21,'Planungstool Heizlast'!$B$20/(15-'Planungstool Heizlast'!$B$9)*(15-Leistungsdaten!A171)+'Planungstool Heizlast'!$B$21))</f>
        <v>2.3315126083616802</v>
      </c>
      <c r="E171">
        <v>15.2487703716856</v>
      </c>
      <c r="F171">
        <v>16.792051077204</v>
      </c>
      <c r="G171">
        <f>IF(E171&lt;'Planungstool Heizlast'!$B$9,'Planungstool Heizlast'!$B$22,IF(E171&gt;15,'Planungstool Heizlast'!$B$21,'Planungstool Heizlast'!$B$20/(15-'Planungstool Heizlast'!$B$9)*(15-Leistungsdaten!E171)+'Planungstool Heizlast'!$B$21))</f>
        <v>1.085466666666667</v>
      </c>
      <c r="I171" s="1">
        <f>IF('Planungstool Heizlast'!$B$4="EU13L",Leistungsdaten!E171,IF('Planungstool Heizlast'!$B$4="EU08L",A171,""))</f>
        <v>10.8371959621517</v>
      </c>
      <c r="J171" s="1">
        <f>IF(OR('Planungstool Heizlast'!$B$10="Fußbodenheizung 35°C",'Planungstool Heizlast'!$B$10="Niedertemperaturheizkörper 45°C"),IF('Planungstool Heizlast'!$B$4="EU13L",Leistungsdaten!F171,IF('Planungstool Heizlast'!$B$4="EU08L",Leistungsdaten!B171,"")),IF('Planungstool Heizlast'!$B$4="EU13L",Leistungsdaten!F171,IF('Planungstool Heizlast'!$B$4="EU08L",Leistungsdaten!B171,""))*0.9)*'Planungstool Heizlast'!$B$5</f>
        <v>11.0018809483</v>
      </c>
      <c r="K171" s="1">
        <f>IF('Planungstool Heizlast'!$B$4="EU13L",Leistungsdaten!G171,IF('Planungstool Heizlast'!$B$4="EU08L",Leistungsdaten!C171,""))*$B$237</f>
        <v>2.5646638691978483</v>
      </c>
      <c r="L171" s="1">
        <f t="shared" si="3"/>
        <v>8.437217079102151</v>
      </c>
    </row>
    <row r="172" spans="1:12" x14ac:dyDescent="0.25">
      <c r="A172">
        <v>11.0452163074445</v>
      </c>
      <c r="B172">
        <v>11.005968613552101</v>
      </c>
      <c r="C172">
        <f>IF(A172&lt;'Planungstool Heizlast'!$B$9,'Planungstool Heizlast'!$B$22,IF(A172&gt;15,'Planungstool Heizlast'!$B$21,'Planungstool Heizlast'!$B$20/(15-'Planungstool Heizlast'!$B$9)*(15-Leistungsdaten!A172)+'Planungstool Heizlast'!$B$21))</f>
        <v>2.2692461877746402</v>
      </c>
      <c r="E172">
        <v>15.453102542659501</v>
      </c>
      <c r="F172">
        <v>16.786656380647798</v>
      </c>
      <c r="G172">
        <f>IF(E172&lt;'Planungstool Heizlast'!$B$9,'Planungstool Heizlast'!$B$22,IF(E172&gt;15,'Planungstool Heizlast'!$B$21,'Planungstool Heizlast'!$B$20/(15-'Planungstool Heizlast'!$B$9)*(15-Leistungsdaten!E172)+'Planungstool Heizlast'!$B$21))</f>
        <v>1.085466666666667</v>
      </c>
      <c r="I172" s="1">
        <f>IF('Planungstool Heizlast'!$B$4="EU13L",Leistungsdaten!E172,IF('Planungstool Heizlast'!$B$4="EU08L",A172,""))</f>
        <v>11.0452163074445</v>
      </c>
      <c r="J172" s="1">
        <f>IF(OR('Planungstool Heizlast'!$B$10="Fußbodenheizung 35°C",'Planungstool Heizlast'!$B$10="Niedertemperaturheizkörper 45°C"),IF('Planungstool Heizlast'!$B$4="EU13L",Leistungsdaten!F172,IF('Planungstool Heizlast'!$B$4="EU08L",Leistungsdaten!B172,"")),IF('Planungstool Heizlast'!$B$4="EU13L",Leistungsdaten!F172,IF('Planungstool Heizlast'!$B$4="EU08L",Leistungsdaten!B172,""))*0.9)*'Planungstool Heizlast'!$B$5</f>
        <v>11.005968613552101</v>
      </c>
      <c r="K172" s="1">
        <f>IF('Planungstool Heizlast'!$B$4="EU13L",Leistungsdaten!G172,IF('Planungstool Heizlast'!$B$4="EU08L",Leistungsdaten!C172,""))*$B$237</f>
        <v>2.4961708065521044</v>
      </c>
      <c r="L172" s="1">
        <f t="shared" si="3"/>
        <v>8.5097978069999964</v>
      </c>
    </row>
    <row r="173" spans="1:12" x14ac:dyDescent="0.25">
      <c r="A173">
        <v>11.252997352748</v>
      </c>
      <c r="B173">
        <v>11.0096833919317</v>
      </c>
      <c r="C173">
        <f>IF(A173&lt;'Planungstool Heizlast'!$B$9,'Planungstool Heizlast'!$B$22,IF(A173&gt;15,'Planungstool Heizlast'!$B$21,'Planungstool Heizlast'!$B$20/(15-'Planungstool Heizlast'!$B$9)*(15-Leistungsdaten!A173)+'Planungstool Heizlast'!$B$21))</f>
        <v>2.2070513964975094</v>
      </c>
      <c r="E173">
        <v>15.6571687025509</v>
      </c>
      <c r="F173">
        <v>16.780796598971602</v>
      </c>
      <c r="G173">
        <f>IF(E173&lt;'Planungstool Heizlast'!$B$9,'Planungstool Heizlast'!$B$22,IF(E173&gt;15,'Planungstool Heizlast'!$B$21,'Planungstool Heizlast'!$B$20/(15-'Planungstool Heizlast'!$B$9)*(15-Leistungsdaten!E173)+'Planungstool Heizlast'!$B$21))</f>
        <v>1.085466666666667</v>
      </c>
      <c r="I173" s="1">
        <f>IF('Planungstool Heizlast'!$B$4="EU13L",Leistungsdaten!E173,IF('Planungstool Heizlast'!$B$4="EU08L",A173,""))</f>
        <v>11.252997352748</v>
      </c>
      <c r="J173" s="1">
        <f>IF(OR('Planungstool Heizlast'!$B$10="Fußbodenheizung 35°C",'Planungstool Heizlast'!$B$10="Niedertemperaturheizkörper 45°C"),IF('Planungstool Heizlast'!$B$4="EU13L",Leistungsdaten!F173,IF('Planungstool Heizlast'!$B$4="EU08L",Leistungsdaten!B173,"")),IF('Planungstool Heizlast'!$B$4="EU13L",Leistungsdaten!F173,IF('Planungstool Heizlast'!$B$4="EU08L",Leistungsdaten!B173,""))*0.9)*'Planungstool Heizlast'!$B$5</f>
        <v>11.0096833919317</v>
      </c>
      <c r="K173" s="1">
        <f>IF('Planungstool Heizlast'!$B$4="EU13L",Leistungsdaten!G173,IF('Planungstool Heizlast'!$B$4="EU08L",Leistungsdaten!C173,""))*$B$237</f>
        <v>2.4277565361472604</v>
      </c>
      <c r="L173" s="1">
        <f t="shared" si="3"/>
        <v>8.5819268557844399</v>
      </c>
    </row>
    <row r="174" spans="1:12" x14ac:dyDescent="0.25">
      <c r="A174">
        <v>11.460538314620001</v>
      </c>
      <c r="B174">
        <v>11.0130245054012</v>
      </c>
      <c r="C174">
        <f>IF(A174&lt;'Planungstool Heizlast'!$B$9,'Planungstool Heizlast'!$B$22,IF(A174&gt;15,'Planungstool Heizlast'!$B$21,'Planungstool Heizlast'!$B$20/(15-'Planungstool Heizlast'!$B$9)*(15-Leistungsdaten!A174)+'Planungstool Heizlast'!$B$21))</f>
        <v>2.1449284690368748</v>
      </c>
      <c r="E174">
        <v>15.860967962164001</v>
      </c>
      <c r="F174">
        <v>16.774471237914501</v>
      </c>
      <c r="G174">
        <f>IF(E174&lt;'Planungstool Heizlast'!$B$9,'Planungstool Heizlast'!$B$22,IF(E174&gt;15,'Planungstool Heizlast'!$B$21,'Planungstool Heizlast'!$B$20/(15-'Planungstool Heizlast'!$B$9)*(15-Leistungsdaten!E174)+'Planungstool Heizlast'!$B$21))</f>
        <v>1.085466666666667</v>
      </c>
      <c r="I174" s="1">
        <f>IF('Planungstool Heizlast'!$B$4="EU13L",Leistungsdaten!E174,IF('Planungstool Heizlast'!$B$4="EU08L",A174,""))</f>
        <v>11.460538314620001</v>
      </c>
      <c r="J174" s="1">
        <f>IF(OR('Planungstool Heizlast'!$B$10="Fußbodenheizung 35°C",'Planungstool Heizlast'!$B$10="Niedertemperaturheizkörper 45°C"),IF('Planungstool Heizlast'!$B$4="EU13L",Leistungsdaten!F174,IF('Planungstool Heizlast'!$B$4="EU08L",Leistungsdaten!B174,"")),IF('Planungstool Heizlast'!$B$4="EU13L",Leistungsdaten!F174,IF('Planungstool Heizlast'!$B$4="EU08L",Leistungsdaten!B174,""))*0.9)*'Planungstool Heizlast'!$B$5</f>
        <v>11.0130245054012</v>
      </c>
      <c r="K174" s="1">
        <f>IF('Planungstool Heizlast'!$B$4="EU13L",Leistungsdaten!G174,IF('Planungstool Heizlast'!$B$4="EU08L",Leistungsdaten!C174,""))*$B$237</f>
        <v>2.3594213159405624</v>
      </c>
      <c r="L174" s="1">
        <f t="shared" si="3"/>
        <v>8.6536031894606378</v>
      </c>
    </row>
    <row r="175" spans="1:12" x14ac:dyDescent="0.25">
      <c r="A175">
        <v>11.667838428852599</v>
      </c>
      <c r="B175">
        <v>11.0159912051046</v>
      </c>
      <c r="C175">
        <f>IF(A175&lt;'Planungstool Heizlast'!$B$9,'Planungstool Heizlast'!$B$22,IF(A175&gt;15,'Planungstool Heizlast'!$B$21,'Planungstool Heizlast'!$B$20/(15-'Planungstool Heizlast'!$B$9)*(15-Leistungsdaten!A175)+'Planungstool Heizlast'!$B$21))</f>
        <v>2.0828776341419522</v>
      </c>
      <c r="E175">
        <v>16.0644994517749</v>
      </c>
      <c r="F175">
        <v>16.767679832757398</v>
      </c>
      <c r="G175">
        <f>IF(E175&lt;'Planungstool Heizlast'!$B$9,'Planungstool Heizlast'!$B$22,IF(E175&gt;15,'Planungstool Heizlast'!$B$21,'Planungstool Heizlast'!$B$20/(15-'Planungstool Heizlast'!$B$9)*(15-Leistungsdaten!E175)+'Planungstool Heizlast'!$B$21))</f>
        <v>1.085466666666667</v>
      </c>
      <c r="I175" s="1">
        <f>IF('Planungstool Heizlast'!$B$4="EU13L",Leistungsdaten!E175,IF('Planungstool Heizlast'!$B$4="EU08L",A175,""))</f>
        <v>11.667838428852599</v>
      </c>
      <c r="J175" s="1">
        <f>IF(OR('Planungstool Heizlast'!$B$10="Fußbodenheizung 35°C",'Planungstool Heizlast'!$B$10="Niedertemperaturheizkörper 45°C"),IF('Planungstool Heizlast'!$B$4="EU13L",Leistungsdaten!F175,IF('Planungstool Heizlast'!$B$4="EU08L",Leistungsdaten!B175,"")),IF('Planungstool Heizlast'!$B$4="EU13L",Leistungsdaten!F175,IF('Planungstool Heizlast'!$B$4="EU08L",Leistungsdaten!B175,""))*0.9)*'Planungstool Heizlast'!$B$5</f>
        <v>11.0159912051046</v>
      </c>
      <c r="K175" s="1">
        <f>IF('Planungstool Heizlast'!$B$4="EU13L",Leistungsdaten!G175,IF('Planungstool Heizlast'!$B$4="EU08L",Leistungsdaten!C175,""))*$B$237</f>
        <v>2.2911653975561475</v>
      </c>
      <c r="L175" s="1">
        <f t="shared" si="3"/>
        <v>8.7248258075484522</v>
      </c>
    </row>
    <row r="176" spans="1:12" x14ac:dyDescent="0.25">
      <c r="A176">
        <v>11.874896950498799</v>
      </c>
      <c r="B176">
        <v>11.018582771407701</v>
      </c>
      <c r="C176">
        <f>IF(A176&lt;'Planungstool Heizlast'!$B$9,'Planungstool Heizlast'!$B$22,IF(A176&gt;15,'Planungstool Heizlast'!$B$21,'Planungstool Heizlast'!$B$20/(15-'Planungstool Heizlast'!$B$9)*(15-Leistungsdaten!A176)+'Planungstool Heizlast'!$B$21))</f>
        <v>2.020899114796618</v>
      </c>
      <c r="E176">
        <v>16.267762321137099</v>
      </c>
      <c r="F176">
        <v>16.760421948332201</v>
      </c>
      <c r="G176">
        <f>IF(E176&lt;'Planungstool Heizlast'!$B$9,'Planungstool Heizlast'!$B$22,IF(E176&gt;15,'Planungstool Heizlast'!$B$21,'Planungstool Heizlast'!$B$20/(15-'Planungstool Heizlast'!$B$9)*(15-Leistungsdaten!E176)+'Planungstool Heizlast'!$B$21))</f>
        <v>1.085466666666667</v>
      </c>
      <c r="I176" s="1">
        <f>IF('Planungstool Heizlast'!$B$4="EU13L",Leistungsdaten!E176,IF('Planungstool Heizlast'!$B$4="EU08L",A176,""))</f>
        <v>11.874896950498799</v>
      </c>
      <c r="J176" s="1">
        <f>IF(OR('Planungstool Heizlast'!$B$10="Fußbodenheizung 35°C",'Planungstool Heizlast'!$B$10="Niedertemperaturheizkörper 45°C"),IF('Planungstool Heizlast'!$B$4="EU13L",Leistungsdaten!F176,IF('Planungstool Heizlast'!$B$4="EU08L",Leistungsdaten!B176,"")),IF('Planungstool Heizlast'!$B$4="EU13L",Leistungsdaten!F176,IF('Planungstool Heizlast'!$B$4="EU08L",Leistungsdaten!B176,""))*0.9)*'Planungstool Heizlast'!$B$5</f>
        <v>11.018582771407701</v>
      </c>
      <c r="K176" s="1">
        <f>IF('Planungstool Heizlast'!$B$4="EU13L",Leistungsdaten!G176,IF('Planungstool Heizlast'!$B$4="EU08L",Leistungsdaten!C176,""))*$B$237</f>
        <v>2.2229890262762799</v>
      </c>
      <c r="L176" s="1">
        <f t="shared" si="3"/>
        <v>8.7955937451314199</v>
      </c>
    </row>
    <row r="177" spans="1:12" x14ac:dyDescent="0.25">
      <c r="A177">
        <v>12.0817131538989</v>
      </c>
      <c r="B177">
        <v>11.0207985139384</v>
      </c>
      <c r="C177">
        <f>IF(A177&lt;'Planungstool Heizlast'!$B$9,'Planungstool Heizlast'!$B$22,IF(A177&gt;15,'Planungstool Heizlast'!$B$21,'Planungstool Heizlast'!$B$20/(15-'Planungstool Heizlast'!$B$9)*(15-Leistungsdaten!A177)+'Planungstool Heizlast'!$B$21))</f>
        <v>1.9589931282115112</v>
      </c>
      <c r="E177">
        <v>16.470755739488101</v>
      </c>
      <c r="F177">
        <v>16.752697179030601</v>
      </c>
      <c r="G177">
        <f>IF(E177&lt;'Planungstool Heizlast'!$B$9,'Planungstool Heizlast'!$B$22,IF(E177&gt;15,'Planungstool Heizlast'!$B$21,'Planungstool Heizlast'!$B$20/(15-'Planungstool Heizlast'!$B$9)*(15-Leistungsdaten!E177)+'Planungstool Heizlast'!$B$21))</f>
        <v>1.085466666666667</v>
      </c>
      <c r="I177" s="1">
        <f>IF('Planungstool Heizlast'!$B$4="EU13L",Leistungsdaten!E177,IF('Planungstool Heizlast'!$B$4="EU08L",A177,""))</f>
        <v>12.0817131538989</v>
      </c>
      <c r="J177" s="1">
        <f>IF(OR('Planungstool Heizlast'!$B$10="Fußbodenheizung 35°C",'Planungstool Heizlast'!$B$10="Niedertemperaturheizkörper 45°C"),IF('Planungstool Heizlast'!$B$4="EU13L",Leistungsdaten!F177,IF('Planungstool Heizlast'!$B$4="EU08L",Leistungsdaten!B177,"")),IF('Planungstool Heizlast'!$B$4="EU13L",Leistungsdaten!F177,IF('Planungstool Heizlast'!$B$4="EU08L",Leistungsdaten!B177,""))*0.9)*'Planungstool Heizlast'!$B$5</f>
        <v>11.0207985139384</v>
      </c>
      <c r="K177" s="1">
        <f>IF('Planungstool Heizlast'!$B$4="EU13L",Leistungsdaten!G177,IF('Planungstool Heizlast'!$B$4="EU08L",Leistungsdaten!C177,""))*$B$237</f>
        <v>2.1548924410326626</v>
      </c>
      <c r="L177" s="1">
        <f t="shared" si="3"/>
        <v>8.8659060729057373</v>
      </c>
    </row>
    <row r="178" spans="1:12" x14ac:dyDescent="0.25">
      <c r="A178">
        <v>12.288286332706599</v>
      </c>
      <c r="B178">
        <v>11.022637771626499</v>
      </c>
      <c r="C178">
        <f>IF(A178&lt;'Planungstool Heizlast'!$B$9,'Planungstool Heizlast'!$B$22,IF(A178&gt;15,'Planungstool Heizlast'!$B$21,'Planungstool Heizlast'!$B$20/(15-'Planungstool Heizlast'!$B$9)*(15-Leistungsdaten!A178)+'Planungstool Heizlast'!$B$21))</f>
        <v>1.8971598858162197</v>
      </c>
      <c r="E178">
        <v>16.673478895554599</v>
      </c>
      <c r="F178">
        <v>16.7445051488132</v>
      </c>
      <c r="G178">
        <f>IF(E178&lt;'Planungstool Heizlast'!$B$9,'Planungstool Heizlast'!$B$22,IF(E178&gt;15,'Planungstool Heizlast'!$B$21,'Planungstool Heizlast'!$B$20/(15-'Planungstool Heizlast'!$B$9)*(15-Leistungsdaten!E178)+'Planungstool Heizlast'!$B$21))</f>
        <v>1.085466666666667</v>
      </c>
      <c r="I178" s="1">
        <f>IF('Planungstool Heizlast'!$B$4="EU13L",Leistungsdaten!E178,IF('Planungstool Heizlast'!$B$4="EU08L",A178,""))</f>
        <v>12.288286332706599</v>
      </c>
      <c r="J178" s="1">
        <f>IF(OR('Planungstool Heizlast'!$B$10="Fußbodenheizung 35°C",'Planungstool Heizlast'!$B$10="Niedertemperaturheizkörper 45°C"),IF('Planungstool Heizlast'!$B$4="EU13L",Leistungsdaten!F178,IF('Planungstool Heizlast'!$B$4="EU08L",Leistungsdaten!B178,"")),IF('Planungstool Heizlast'!$B$4="EU13L",Leistungsdaten!F178,IF('Planungstool Heizlast'!$B$4="EU08L",Leistungsdaten!B178,""))*0.9)*'Planungstool Heizlast'!$B$5</f>
        <v>11.022637771626499</v>
      </c>
      <c r="K178" s="1">
        <f>IF('Planungstool Heizlast'!$B$4="EU13L",Leistungsdaten!G178,IF('Planungstool Heizlast'!$B$4="EU08L",Leistungsdaten!C178,""))*$B$237</f>
        <v>2.0868758743978417</v>
      </c>
      <c r="L178" s="1">
        <f t="shared" si="3"/>
        <v>8.935761897228657</v>
      </c>
    </row>
    <row r="179" spans="1:12" x14ac:dyDescent="0.25">
      <c r="A179">
        <v>12.494615799916</v>
      </c>
      <c r="B179">
        <v>11.024099912743701</v>
      </c>
      <c r="C179">
        <f>IF(A179&lt;'Planungstool Heizlast'!$B$9,'Planungstool Heizlast'!$B$22,IF(A179&gt;15,'Planungstool Heizlast'!$B$21,'Planungstool Heizlast'!$B$20/(15-'Planungstool Heizlast'!$B$9)*(15-Leistungsdaten!A179)+'Planungstool Heizlast'!$B$21))</f>
        <v>1.8353995932511973</v>
      </c>
      <c r="E179">
        <v>16.875930997559099</v>
      </c>
      <c r="F179">
        <v>16.7358455112185</v>
      </c>
      <c r="G179">
        <f>IF(E179&lt;'Planungstool Heizlast'!$B$9,'Planungstool Heizlast'!$B$22,IF(E179&gt;15,'Planungstool Heizlast'!$B$21,'Planungstool Heizlast'!$B$20/(15-'Planungstool Heizlast'!$B$9)*(15-Leistungsdaten!E179)+'Planungstool Heizlast'!$B$21))</f>
        <v>1.085466666666667</v>
      </c>
      <c r="I179" s="1">
        <f>IF('Planungstool Heizlast'!$B$4="EU13L",Leistungsdaten!E179,IF('Planungstool Heizlast'!$B$4="EU08L",A179,""))</f>
        <v>12.494615799916</v>
      </c>
      <c r="J179" s="1">
        <f>IF(OR('Planungstool Heizlast'!$B$10="Fußbodenheizung 35°C",'Planungstool Heizlast'!$B$10="Niedertemperaturheizkörper 45°C"),IF('Planungstool Heizlast'!$B$4="EU13L",Leistungsdaten!F179,IF('Planungstool Heizlast'!$B$4="EU08L",Leistungsdaten!B179,"")),IF('Planungstool Heizlast'!$B$4="EU13L",Leistungsdaten!F179,IF('Planungstool Heizlast'!$B$4="EU08L",Leistungsdaten!B179,""))*0.9)*'Planungstool Heizlast'!$B$5</f>
        <v>11.024099912743701</v>
      </c>
      <c r="K179" s="1">
        <f>IF('Planungstool Heizlast'!$B$4="EU13L",Leistungsdaten!G179,IF('Planungstool Heizlast'!$B$4="EU08L",Leistungsdaten!C179,""))*$B$237</f>
        <v>2.0189395525763172</v>
      </c>
      <c r="L179" s="1">
        <f t="shared" si="3"/>
        <v>9.005160360167384</v>
      </c>
    </row>
    <row r="180" spans="1:12" x14ac:dyDescent="0.25">
      <c r="A180">
        <v>12.700700887886599</v>
      </c>
      <c r="B180">
        <v>11.0251843349429</v>
      </c>
      <c r="C180">
        <f>IF(A180&lt;'Planungstool Heizlast'!$B$9,'Planungstool Heizlast'!$B$22,IF(A180&gt;15,'Planungstool Heizlast'!$B$21,'Planungstool Heizlast'!$B$20/(15-'Planungstool Heizlast'!$B$9)*(15-Leistungsdaten!A180)+'Planungstool Heizlast'!$B$21))</f>
        <v>1.7737124503602824</v>
      </c>
      <c r="E180">
        <v>17.0781112732259</v>
      </c>
      <c r="F180">
        <v>16.7267179493724</v>
      </c>
      <c r="G180">
        <f>IF(E180&lt;'Planungstool Heizlast'!$B$9,'Planungstool Heizlast'!$B$22,IF(E180&gt;15,'Planungstool Heizlast'!$B$21,'Planungstool Heizlast'!$B$20/(15-'Planungstool Heizlast'!$B$9)*(15-Leistungsdaten!E180)+'Planungstool Heizlast'!$B$21))</f>
        <v>1.085466666666667</v>
      </c>
      <c r="I180" s="1">
        <f>IF('Planungstool Heizlast'!$B$4="EU13L",Leistungsdaten!E180,IF('Planungstool Heizlast'!$B$4="EU08L",A180,""))</f>
        <v>12.700700887886599</v>
      </c>
      <c r="J180" s="1">
        <f>IF(OR('Planungstool Heizlast'!$B$10="Fußbodenheizung 35°C",'Planungstool Heizlast'!$B$10="Niedertemperaturheizkörper 45°C"),IF('Planungstool Heizlast'!$B$4="EU13L",Leistungsdaten!F180,IF('Planungstool Heizlast'!$B$4="EU08L",Leistungsdaten!B180,"")),IF('Planungstool Heizlast'!$B$4="EU13L",Leistungsdaten!F180,IF('Planungstool Heizlast'!$B$4="EU08L",Leistungsdaten!B180,""))*0.9)*'Planungstool Heizlast'!$B$5</f>
        <v>11.0251843349429</v>
      </c>
      <c r="K180" s="1">
        <f>IF('Planungstool Heizlast'!$B$4="EU13L",Leistungsdaten!G180,IF('Planungstool Heizlast'!$B$4="EU08L",Leistungsdaten!C180,""))*$B$237</f>
        <v>1.9510836953963107</v>
      </c>
      <c r="L180" s="1">
        <f t="shared" si="3"/>
        <v>9.0741006395465895</v>
      </c>
    </row>
    <row r="181" spans="1:12" x14ac:dyDescent="0.25">
      <c r="A181">
        <v>12.9065409483708</v>
      </c>
      <c r="B181">
        <v>11.0258904652986</v>
      </c>
      <c r="C181">
        <f>IF(A181&lt;'Planungstool Heizlast'!$B$9,'Planungstool Heizlast'!$B$22,IF(A181&gt;15,'Planungstool Heizlast'!$B$21,'Planungstool Heizlast'!$B$20/(15-'Planungstool Heizlast'!$B$9)*(15-Leistungsdaten!A181)+'Planungstool Heizlast'!$B$21))</f>
        <v>1.7120986511824645</v>
      </c>
      <c r="E181">
        <v>17.280018969786699</v>
      </c>
      <c r="F181">
        <v>16.7171221759973</v>
      </c>
      <c r="G181">
        <f>IF(E181&lt;'Planungstool Heizlast'!$B$9,'Planungstool Heizlast'!$B$22,IF(E181&gt;15,'Planungstool Heizlast'!$B$21,'Planungstool Heizlast'!$B$20/(15-'Planungstool Heizlast'!$B$9)*(15-Leistungsdaten!E181)+'Planungstool Heizlast'!$B$21))</f>
        <v>1.085466666666667</v>
      </c>
      <c r="I181" s="1">
        <f>IF('Planungstool Heizlast'!$B$4="EU13L",Leistungsdaten!E181,IF('Planungstool Heizlast'!$B$4="EU08L",A181,""))</f>
        <v>12.9065409483708</v>
      </c>
      <c r="J181" s="1">
        <f>IF(OR('Planungstool Heizlast'!$B$10="Fußbodenheizung 35°C",'Planungstool Heizlast'!$B$10="Niedertemperaturheizkörper 45°C"),IF('Planungstool Heizlast'!$B$4="EU13L",Leistungsdaten!F181,IF('Planungstool Heizlast'!$B$4="EU08L",Leistungsdaten!B181,"")),IF('Planungstool Heizlast'!$B$4="EU13L",Leistungsdaten!F181,IF('Planungstool Heizlast'!$B$4="EU08L",Leistungsdaten!B181,""))*0.9)*'Planungstool Heizlast'!$B$5</f>
        <v>11.0258904652986</v>
      </c>
      <c r="K181" s="1">
        <f>IF('Planungstool Heizlast'!$B$4="EU13L",Leistungsdaten!G181,IF('Planungstool Heizlast'!$B$4="EU08L",Leistungsdaten!C181,""))*$B$237</f>
        <v>1.8833085163007111</v>
      </c>
      <c r="L181" s="1">
        <f t="shared" si="3"/>
        <v>9.1425819489978899</v>
      </c>
    </row>
    <row r="182" spans="1:12" x14ac:dyDescent="0.25">
      <c r="A182">
        <v>13.1121353525385</v>
      </c>
      <c r="B182">
        <v>11.0262177603453</v>
      </c>
      <c r="C182">
        <f>IF(A182&lt;'Planungstool Heizlast'!$B$9,'Planungstool Heizlast'!$B$22,IF(A182&gt;15,'Planungstool Heizlast'!$B$21,'Planungstool Heizlast'!$B$20/(15-'Planungstool Heizlast'!$B$9)*(15-Leistungsdaten!A182)+'Planungstool Heizlast'!$B$21))</f>
        <v>1.650558383944523</v>
      </c>
      <c r="E182">
        <v>17.481653353987401</v>
      </c>
      <c r="F182">
        <v>16.707057933421101</v>
      </c>
      <c r="G182">
        <f>IF(E182&lt;'Planungstool Heizlast'!$B$9,'Planungstool Heizlast'!$B$22,IF(E182&gt;15,'Planungstool Heizlast'!$B$21,'Planungstool Heizlast'!$B$20/(15-'Planungstool Heizlast'!$B$9)*(15-Leistungsdaten!E182)+'Planungstool Heizlast'!$B$21))</f>
        <v>1.085466666666667</v>
      </c>
      <c r="I182" s="1">
        <f>IF('Planungstool Heizlast'!$B$4="EU13L",Leistungsdaten!E182,IF('Planungstool Heizlast'!$B$4="EU08L",A182,""))</f>
        <v>13.1121353525385</v>
      </c>
      <c r="J182" s="1">
        <f>IF(OR('Planungstool Heizlast'!$B$10="Fußbodenheizung 35°C",'Planungstool Heizlast'!$B$10="Niedertemperaturheizkörper 45°C"),IF('Planungstool Heizlast'!$B$4="EU13L",Leistungsdaten!F182,IF('Planungstool Heizlast'!$B$4="EU08L",Leistungsdaten!B182,"")),IF('Planungstool Heizlast'!$B$4="EU13L",Leistungsdaten!F182,IF('Planungstool Heizlast'!$B$4="EU08L",Leistungsdaten!B182,""))*0.9)*'Planungstool Heizlast'!$B$5</f>
        <v>11.0262177603453</v>
      </c>
      <c r="K182" s="1">
        <f>IF('Planungstool Heizlast'!$B$4="EU13L",Leistungsdaten!G182,IF('Planungstool Heizlast'!$B$4="EU08L",Leistungsdaten!C182,""))*$B$237</f>
        <v>1.8156142223389755</v>
      </c>
      <c r="L182" s="1">
        <f t="shared" si="3"/>
        <v>9.2106035380063247</v>
      </c>
    </row>
    <row r="183" spans="1:12" x14ac:dyDescent="0.25">
      <c r="A183">
        <v>13.317483491003999</v>
      </c>
      <c r="B183">
        <v>11.0261657061177</v>
      </c>
      <c r="C183">
        <f>IF(A183&lt;'Planungstool Heizlast'!$B$9,'Planungstool Heizlast'!$B$22,IF(A183&gt;15,'Planungstool Heizlast'!$B$21,'Planungstool Heizlast'!$B$20/(15-'Planungstool Heizlast'!$B$9)*(15-Leistungsdaten!A183)+'Planungstool Heizlast'!$B$21))</f>
        <v>1.5890918310529729</v>
      </c>
      <c r="E183">
        <v>17.6830137120937</v>
      </c>
      <c r="F183">
        <v>16.696524993587001</v>
      </c>
      <c r="G183">
        <f>IF(E183&lt;'Planungstool Heizlast'!$B$9,'Planungstool Heizlast'!$B$22,IF(E183&gt;15,'Planungstool Heizlast'!$B$21,'Planungstool Heizlast'!$B$20/(15-'Planungstool Heizlast'!$B$9)*(15-Leistungsdaten!E183)+'Planungstool Heizlast'!$B$21))</f>
        <v>1.085466666666667</v>
      </c>
      <c r="I183" s="1">
        <f>IF('Planungstool Heizlast'!$B$4="EU13L",Leistungsdaten!E183,IF('Planungstool Heizlast'!$B$4="EU08L",A183,""))</f>
        <v>13.317483491003999</v>
      </c>
      <c r="J183" s="1">
        <f>IF(OR('Planungstool Heizlast'!$B$10="Fußbodenheizung 35°C",'Planungstool Heizlast'!$B$10="Niedertemperaturheizkörper 45°C"),IF('Planungstool Heizlast'!$B$4="EU13L",Leistungsdaten!F183,IF('Planungstool Heizlast'!$B$4="EU08L",Leistungsdaten!B183,"")),IF('Planungstool Heizlast'!$B$4="EU13L",Leistungsdaten!F183,IF('Planungstool Heizlast'!$B$4="EU08L",Leistungsdaten!B183,""))*0.9)*'Planungstool Heizlast'!$B$5</f>
        <v>11.0261657061177</v>
      </c>
      <c r="K183" s="1">
        <f>IF('Planungstool Heizlast'!$B$4="EU13L",Leistungsdaten!G183,IF('Planungstool Heizlast'!$B$4="EU08L",Leistungsdaten!C183,""))*$B$237</f>
        <v>1.7480010141582702</v>
      </c>
      <c r="L183" s="1">
        <f t="shared" si="3"/>
        <v>9.2781646919594305</v>
      </c>
    </row>
    <row r="184" spans="1:12" x14ac:dyDescent="0.25">
      <c r="A184">
        <v>13.5225847738513</v>
      </c>
      <c r="B184">
        <v>11.025733818189</v>
      </c>
      <c r="C184">
        <f>IF(A184&lt;'Planungstool Heizlast'!$B$9,'Planungstool Heizlast'!$B$22,IF(A184&gt;15,'Planungstool Heizlast'!$B$21,'Planungstool Heizlast'!$B$20/(15-'Planungstool Heizlast'!$B$9)*(15-Leistungsdaten!A184)+'Planungstool Heizlast'!$B$21))</f>
        <v>1.5276991690864925</v>
      </c>
      <c r="E184">
        <v>17.8840993498975</v>
      </c>
      <c r="F184">
        <v>16.6855231580622</v>
      </c>
      <c r="G184">
        <f>IF(E184&lt;'Planungstool Heizlast'!$B$9,'Planungstool Heizlast'!$B$22,IF(E184&gt;15,'Planungstool Heizlast'!$B$21,'Planungstool Heizlast'!$B$20/(15-'Planungstool Heizlast'!$B$9)*(15-Leistungsdaten!E184)+'Planungstool Heizlast'!$B$21))</f>
        <v>1.085466666666667</v>
      </c>
      <c r="I184" s="1">
        <f>IF('Planungstool Heizlast'!$B$4="EU13L",Leistungsdaten!E184,IF('Planungstool Heizlast'!$B$4="EU08L",A184,""))</f>
        <v>13.5225847738513</v>
      </c>
      <c r="J184" s="1">
        <f>IF(OR('Planungstool Heizlast'!$B$10="Fußbodenheizung 35°C",'Planungstool Heizlast'!$B$10="Niedertemperaturheizkörper 45°C"),IF('Planungstool Heizlast'!$B$4="EU13L",Leistungsdaten!F184,IF('Planungstool Heizlast'!$B$4="EU08L",Leistungsdaten!B184,"")),IF('Planungstool Heizlast'!$B$4="EU13L",Leistungsdaten!F184,IF('Planungstool Heizlast'!$B$4="EU08L",Leistungsdaten!B184,""))*0.9)*'Planungstool Heizlast'!$B$5</f>
        <v>11.025733818189</v>
      </c>
      <c r="K184" s="1">
        <f>IF('Planungstool Heizlast'!$B$4="EU13L",Leistungsdaten!G184,IF('Planungstool Heizlast'!$B$4="EU08L",Leistungsdaten!C184,""))*$B$237</f>
        <v>1.6804690859951419</v>
      </c>
      <c r="L184" s="1">
        <f t="shared" si="3"/>
        <v>9.3452647321938578</v>
      </c>
    </row>
    <row r="185" spans="1:12" x14ac:dyDescent="0.25">
      <c r="A185">
        <v>13.727438630659799</v>
      </c>
      <c r="B185">
        <v>11.0249216417103</v>
      </c>
      <c r="C185">
        <f>IF(A185&lt;'Planungstool Heizlast'!$B$9,'Planungstool Heizlast'!$B$22,IF(A185&gt;15,'Planungstool Heizlast'!$B$21,'Planungstool Heizlast'!$B$20/(15-'Planungstool Heizlast'!$B$9)*(15-Leistungsdaten!A185)+'Planungstool Heizlast'!$B$21))</f>
        <v>1.4663805687882328</v>
      </c>
      <c r="E185">
        <v>18.084909592723001</v>
      </c>
      <c r="F185">
        <v>16.674052258048</v>
      </c>
      <c r="G185">
        <f>IF(E185&lt;'Planungstool Heizlast'!$B$9,'Planungstool Heizlast'!$B$22,IF(E185&gt;15,'Planungstool Heizlast'!$B$21,'Planungstool Heizlast'!$B$20/(15-'Planungstool Heizlast'!$B$9)*(15-Leistungsdaten!E185)+'Planungstool Heizlast'!$B$21))</f>
        <v>1.085466666666667</v>
      </c>
      <c r="I185" s="1">
        <f>IF('Planungstool Heizlast'!$B$4="EU13L",Leistungsdaten!E185,IF('Planungstool Heizlast'!$B$4="EU08L",A185,""))</f>
        <v>13.727438630659799</v>
      </c>
      <c r="J185" s="1">
        <f>IF(OR('Planungstool Heizlast'!$B$10="Fußbodenheizung 35°C",'Planungstool Heizlast'!$B$10="Niedertemperaturheizkörper 45°C"),IF('Planungstool Heizlast'!$B$4="EU13L",Leistungsdaten!F185,IF('Planungstool Heizlast'!$B$4="EU08L",Leistungsdaten!B185,"")),IF('Planungstool Heizlast'!$B$4="EU13L",Leistungsdaten!F185,IF('Planungstool Heizlast'!$B$4="EU08L",Leistungsdaten!B185,""))*0.9)*'Planungstool Heizlast'!$B$5</f>
        <v>11.0249216417103</v>
      </c>
      <c r="K185" s="1">
        <f>IF('Planungstool Heizlast'!$B$4="EU13L",Leistungsdaten!G185,IF('Planungstool Heizlast'!$B$4="EU08L",Leistungsdaten!C185,""))*$B$237</f>
        <v>1.6130186256670562</v>
      </c>
      <c r="L185" s="1">
        <f t="shared" si="3"/>
        <v>9.4119030160432438</v>
      </c>
    </row>
    <row r="186" spans="1:12" x14ac:dyDescent="0.25">
      <c r="A186">
        <v>13.9320445105294</v>
      </c>
      <c r="B186">
        <v>11.0237287514489</v>
      </c>
      <c r="C186">
        <f>IF(A186&lt;'Planungstool Heizlast'!$B$9,'Planungstool Heizlast'!$B$22,IF(A186&gt;15,'Planungstool Heizlast'!$B$21,'Planungstool Heizlast'!$B$20/(15-'Planungstool Heizlast'!$B$9)*(15-Leistungsdaten!A186)+'Planungstool Heizlast'!$B$21))</f>
        <v>1.4051361950583003</v>
      </c>
      <c r="E186">
        <v>18.2854437854328</v>
      </c>
      <c r="F186">
        <v>16.662112154388598</v>
      </c>
      <c r="G186">
        <f>IF(E186&lt;'Planungstool Heizlast'!$B$9,'Planungstool Heizlast'!$B$22,IF(E186&gt;15,'Planungstool Heizlast'!$B$21,'Planungstool Heizlast'!$B$20/(15-'Planungstool Heizlast'!$B$9)*(15-Leistungsdaten!E186)+'Planungstool Heizlast'!$B$21))</f>
        <v>1.085466666666667</v>
      </c>
      <c r="I186" s="1">
        <f>IF('Planungstool Heizlast'!$B$4="EU13L",Leistungsdaten!E186,IF('Planungstool Heizlast'!$B$4="EU08L",A186,""))</f>
        <v>13.9320445105294</v>
      </c>
      <c r="J186" s="1">
        <f>IF(OR('Planungstool Heizlast'!$B$10="Fußbodenheizung 35°C",'Planungstool Heizlast'!$B$10="Niedertemperaturheizkörper 45°C"),IF('Planungstool Heizlast'!$B$4="EU13L",Leistungsdaten!F186,IF('Planungstool Heizlast'!$B$4="EU08L",Leistungsdaten!B186,"")),IF('Planungstool Heizlast'!$B$4="EU13L",Leistungsdaten!F186,IF('Planungstool Heizlast'!$B$4="EU08L",Leistungsdaten!B186,""))*0.9)*'Planungstool Heizlast'!$B$5</f>
        <v>11.0237287514489</v>
      </c>
      <c r="K186" s="1">
        <f>IF('Planungstool Heizlast'!$B$4="EU13L",Leistungsdaten!G186,IF('Planungstool Heizlast'!$B$4="EU08L",Leistungsdaten!C186,""))*$B$237</f>
        <v>1.5456498145641304</v>
      </c>
      <c r="L186" s="1">
        <f t="shared" si="3"/>
        <v>9.4780789368847689</v>
      </c>
    </row>
    <row r="187" spans="1:12" x14ac:dyDescent="0.25">
      <c r="A187">
        <v>14.1364018821064</v>
      </c>
      <c r="B187">
        <v>11.022154751826299</v>
      </c>
      <c r="C187">
        <f>IF(A187&lt;'Planungstool Heizlast'!$B$9,'Planungstool Heizlast'!$B$22,IF(A187&gt;15,'Planungstool Heizlast'!$B$21,'Planungstool Heizlast'!$B$20/(15-'Planungstool Heizlast'!$B$9)*(15-Leistungsdaten!A187)+'Planungstool Heizlast'!$B$21))</f>
        <v>1.3439662069460085</v>
      </c>
      <c r="E187">
        <v>18.485701292434499</v>
      </c>
      <c r="F187">
        <v>16.6497027375807</v>
      </c>
      <c r="G187">
        <f>IF(E187&lt;'Planungstool Heizlast'!$B$9,'Planungstool Heizlast'!$B$22,IF(E187&gt;15,'Planungstool Heizlast'!$B$21,'Planungstool Heizlast'!$B$20/(15-'Planungstool Heizlast'!$B$9)*(15-Leistungsdaten!E187)+'Planungstool Heizlast'!$B$21))</f>
        <v>1.085466666666667</v>
      </c>
      <c r="I187" s="1">
        <f>IF('Planungstool Heizlast'!$B$4="EU13L",Leistungsdaten!E187,IF('Planungstool Heizlast'!$B$4="EU08L",A187,""))</f>
        <v>14.1364018821064</v>
      </c>
      <c r="J187" s="1">
        <f>IF(OR('Planungstool Heizlast'!$B$10="Fußbodenheizung 35°C",'Planungstool Heizlast'!$B$10="Niedertemperaturheizkörper 45°C"),IF('Planungstool Heizlast'!$B$4="EU13L",Leistungsdaten!F187,IF('Planungstool Heizlast'!$B$4="EU08L",Leistungsdaten!B187,"")),IF('Planungstool Heizlast'!$B$4="EU13L",Leistungsdaten!F187,IF('Planungstool Heizlast'!$B$4="EU08L",Leistungsdaten!B187,""))*0.9)*'Planungstool Heizlast'!$B$5</f>
        <v>11.022154751826299</v>
      </c>
      <c r="K187" s="1">
        <f>IF('Planungstool Heizlast'!$B$4="EU13L",Leistungsdaten!G187,IF('Planungstool Heizlast'!$B$4="EU08L",Leistungsdaten!C187,""))*$B$237</f>
        <v>1.4783628276406096</v>
      </c>
      <c r="L187" s="1">
        <f t="shared" si="3"/>
        <v>9.5437919241856903</v>
      </c>
    </row>
    <row r="188" spans="1:12" x14ac:dyDescent="0.25">
      <c r="A188">
        <v>14.340510233607899</v>
      </c>
      <c r="B188">
        <v>11.020199276956999</v>
      </c>
      <c r="C188">
        <f>IF(A188&lt;'Planungstool Heizlast'!$B$9,'Planungstool Heizlast'!$B$22,IF(A188&gt;15,'Planungstool Heizlast'!$B$21,'Planungstool Heizlast'!$B$20/(15-'Planungstool Heizlast'!$B$9)*(15-Leistungsdaten!A188)+'Planungstool Heizlast'!$B$21))</f>
        <v>1.2828707576425717</v>
      </c>
      <c r="E188">
        <v>18.685681497686101</v>
      </c>
      <c r="F188">
        <v>16.636823927782999</v>
      </c>
      <c r="G188">
        <f>IF(E188&lt;'Planungstool Heizlast'!$B$9,'Planungstool Heizlast'!$B$22,IF(E188&gt;15,'Planungstool Heizlast'!$B$21,'Planungstool Heizlast'!$B$20/(15-'Planungstool Heizlast'!$B$9)*(15-Leistungsdaten!E188)+'Planungstool Heizlast'!$B$21))</f>
        <v>1.085466666666667</v>
      </c>
      <c r="I188" s="1">
        <f>IF('Planungstool Heizlast'!$B$4="EU13L",Leistungsdaten!E188,IF('Planungstool Heizlast'!$B$4="EU08L",A188,""))</f>
        <v>14.340510233607899</v>
      </c>
      <c r="J188" s="1">
        <f>IF(OR('Planungstool Heizlast'!$B$10="Fußbodenheizung 35°C",'Planungstool Heizlast'!$B$10="Niedertemperaturheizkörper 45°C"),IF('Planungstool Heizlast'!$B$4="EU13L",Leistungsdaten!F188,IF('Planungstool Heizlast'!$B$4="EU08L",Leistungsdaten!B188,"")),IF('Planungstool Heizlast'!$B$4="EU13L",Leistungsdaten!F188,IF('Planungstool Heizlast'!$B$4="EU08L",Leistungsdaten!B188,""))*0.9)*'Planungstool Heizlast'!$B$5</f>
        <v>11.020199276956999</v>
      </c>
      <c r="K188" s="1">
        <f>IF('Planungstool Heizlast'!$B$4="EU13L",Leistungsdaten!G188,IF('Planungstool Heizlast'!$B$4="EU08L",Leistungsdaten!C188,""))*$B$237</f>
        <v>1.4111578334068291</v>
      </c>
      <c r="L188" s="1">
        <f t="shared" si="3"/>
        <v>9.6090414435501703</v>
      </c>
    </row>
    <row r="189" spans="1:12" x14ac:dyDescent="0.25">
      <c r="A189">
        <v>14.544369072847299</v>
      </c>
      <c r="B189">
        <v>11.0178619906858</v>
      </c>
      <c r="C189">
        <f>IF(A189&lt;'Planungstool Heizlast'!$B$9,'Planungstool Heizlast'!$B$22,IF(A189&gt;15,'Planungstool Heizlast'!$B$21,'Planungstool Heizlast'!$B$20/(15-'Planungstool Heizlast'!$B$9)*(15-Leistungsdaten!A189)+'Planungstool Heizlast'!$B$21))</f>
        <v>1.2218499944734726</v>
      </c>
      <c r="E189">
        <v>18.885383804703199</v>
      </c>
      <c r="F189">
        <v>16.6234756748254</v>
      </c>
      <c r="G189">
        <f>IF(E189&lt;'Planungstool Heizlast'!$B$9,'Planungstool Heizlast'!$B$22,IF(E189&gt;15,'Planungstool Heizlast'!$B$21,'Planungstool Heizlast'!$B$20/(15-'Planungstool Heizlast'!$B$9)*(15-Leistungsdaten!E189)+'Planungstool Heizlast'!$B$21))</f>
        <v>1.085466666666667</v>
      </c>
      <c r="I189" s="1">
        <f>IF('Planungstool Heizlast'!$B$4="EU13L",Leistungsdaten!E189,IF('Planungstool Heizlast'!$B$4="EU08L",A189,""))</f>
        <v>14.544369072847299</v>
      </c>
      <c r="J189" s="1">
        <f>IF(OR('Planungstool Heizlast'!$B$10="Fußbodenheizung 35°C",'Planungstool Heizlast'!$B$10="Niedertemperaturheizkörper 45°C"),IF('Planungstool Heizlast'!$B$4="EU13L",Leistungsdaten!F189,IF('Planungstool Heizlast'!$B$4="EU08L",Leistungsdaten!B189,"")),IF('Planungstool Heizlast'!$B$4="EU13L",Leistungsdaten!F189,IF('Planungstool Heizlast'!$B$4="EU08L",Leistungsdaten!B189,""))*0.9)*'Planungstool Heizlast'!$B$5</f>
        <v>11.0178619906858</v>
      </c>
      <c r="K189" s="1">
        <f>IF('Planungstool Heizlast'!$B$4="EU13L",Leistungsdaten!G189,IF('Planungstool Heizlast'!$B$4="EU08L",Leistungsdaten!C189,""))*$B$237</f>
        <v>1.34403499392082</v>
      </c>
      <c r="L189" s="1">
        <f t="shared" si="3"/>
        <v>9.6738269967649799</v>
      </c>
    </row>
    <row r="190" spans="1:12" x14ac:dyDescent="0.25">
      <c r="A190">
        <v>14.7479779272585</v>
      </c>
      <c r="B190">
        <v>11.015142586625</v>
      </c>
      <c r="C190">
        <f>IF(A190&lt;'Planungstool Heizlast'!$B$9,'Planungstool Heizlast'!$B$22,IF(A190&gt;15,'Planungstool Heizlast'!$B$21,'Planungstool Heizlast'!$B$20/(15-'Planungstool Heizlast'!$B$9)*(15-Leistungsdaten!A190)+'Planungstool Heizlast'!$B$21))</f>
        <v>1.1609040588912192</v>
      </c>
      <c r="E190">
        <v>19.084807636564399</v>
      </c>
      <c r="F190">
        <v>16.609657958218801</v>
      </c>
      <c r="G190">
        <f>IF(E190&lt;'Planungstool Heizlast'!$B$9,'Planungstool Heizlast'!$B$22,IF(E190&gt;15,'Planungstool Heizlast'!$B$21,'Planungstool Heizlast'!$B$20/(15-'Planungstool Heizlast'!$B$9)*(15-Leistungsdaten!E190)+'Planungstool Heizlast'!$B$21))</f>
        <v>1.085466666666667</v>
      </c>
      <c r="I190" s="1">
        <f>IF('Planungstool Heizlast'!$B$4="EU13L",Leistungsdaten!E190,IF('Planungstool Heizlast'!$B$4="EU08L",A190,""))</f>
        <v>14.7479779272585</v>
      </c>
      <c r="J190" s="1">
        <f>IF(OR('Planungstool Heizlast'!$B$10="Fußbodenheizung 35°C",'Planungstool Heizlast'!$B$10="Niedertemperaturheizkörper 45°C"),IF('Planungstool Heizlast'!$B$4="EU13L",Leistungsdaten!F190,IF('Planungstool Heizlast'!$B$4="EU08L",Leistungsdaten!B190,"")),IF('Planungstool Heizlast'!$B$4="EU13L",Leistungsdaten!F190,IF('Planungstool Heizlast'!$B$4="EU08L",Leistungsdaten!B190,""))*0.9)*'Planungstool Heizlast'!$B$5</f>
        <v>11.015142586625</v>
      </c>
      <c r="K190" s="1">
        <f>IF('Planungstool Heizlast'!$B$4="EU13L",Leistungsdaten!G190,IF('Planungstool Heizlast'!$B$4="EU08L",Leistungsdaten!C190,""))*$B$237</f>
        <v>1.2769944647803413</v>
      </c>
      <c r="L190" s="1">
        <f t="shared" si="3"/>
        <v>9.7381481218446595</v>
      </c>
    </row>
    <row r="191" spans="1:12" x14ac:dyDescent="0.25">
      <c r="A191">
        <v>14.9513363439205</v>
      </c>
      <c r="B191">
        <v>11.0120407881922</v>
      </c>
      <c r="C191">
        <f>IF(A191&lt;'Planungstool Heizlast'!$B$9,'Planungstool Heizlast'!$B$22,IF(A191&gt;15,'Planungstool Heizlast'!$B$21,'Planungstool Heizlast'!$B$20/(15-'Planungstool Heizlast'!$B$9)*(15-Leistungsdaten!A191)+'Planungstool Heizlast'!$B$21))</f>
        <v>1.1000330864679808</v>
      </c>
      <c r="E191">
        <v>19.317387256092999</v>
      </c>
      <c r="F191">
        <v>16.660936772288299</v>
      </c>
      <c r="G191">
        <f>IF(E191&lt;'Planungstool Heizlast'!$B$9,'Planungstool Heizlast'!$B$22,IF(E191&gt;15,'Planungstool Heizlast'!$B$21,'Planungstool Heizlast'!$B$20/(15-'Planungstool Heizlast'!$B$9)*(15-Leistungsdaten!E191)+'Planungstool Heizlast'!$B$21))</f>
        <v>1.085466666666667</v>
      </c>
      <c r="I191" s="1">
        <f>IF('Planungstool Heizlast'!$B$4="EU13L",Leistungsdaten!E191,IF('Planungstool Heizlast'!$B$4="EU08L",A191,""))</f>
        <v>14.9513363439205</v>
      </c>
      <c r="J191" s="1">
        <f>IF(OR('Planungstool Heizlast'!$B$10="Fußbodenheizung 35°C",'Planungstool Heizlast'!$B$10="Niedertemperaturheizkörper 45°C"),IF('Planungstool Heizlast'!$B$4="EU13L",Leistungsdaten!F191,IF('Planungstool Heizlast'!$B$4="EU08L",Leistungsdaten!B191,"")),IF('Planungstool Heizlast'!$B$4="EU13L",Leistungsdaten!F191,IF('Planungstool Heizlast'!$B$4="EU08L",Leistungsdaten!B191,""))*0.9)*'Planungstool Heizlast'!$B$5</f>
        <v>11.0120407881922</v>
      </c>
      <c r="K191" s="1">
        <f>IF('Planungstool Heizlast'!$B$4="EU13L",Leistungsdaten!G191,IF('Planungstool Heizlast'!$B$4="EU08L",Leistungsdaten!C191,""))*$B$237</f>
        <v>1.210036395114779</v>
      </c>
      <c r="L191" s="1">
        <f t="shared" si="3"/>
        <v>9.8020043930774214</v>
      </c>
    </row>
    <row r="192" spans="1:12" x14ac:dyDescent="0.25">
      <c r="A192">
        <v>15.1544438895817</v>
      </c>
      <c r="B192">
        <v>11.008556348646399</v>
      </c>
      <c r="C192">
        <f>IF(A192&lt;'Planungstool Heizlast'!$B$9,'Planungstool Heizlast'!$B$22,IF(A192&gt;15,'Planungstool Heizlast'!$B$21,'Planungstool Heizlast'!$B$20/(15-'Planungstool Heizlast'!$B$9)*(15-Leistungsdaten!A192)+'Planungstool Heizlast'!$B$21))</f>
        <v>1.085466666666667</v>
      </c>
      <c r="E192">
        <v>19.549909307062599</v>
      </c>
      <c r="F192">
        <v>16.712114295350201</v>
      </c>
      <c r="G192">
        <f>IF(E192&lt;'Planungstool Heizlast'!$B$9,'Planungstool Heizlast'!$B$22,IF(E192&gt;15,'Planungstool Heizlast'!$B$21,'Planungstool Heizlast'!$B$20/(15-'Planungstool Heizlast'!$B$9)*(15-Leistungsdaten!E192)+'Planungstool Heizlast'!$B$21))</f>
        <v>1.085466666666667</v>
      </c>
      <c r="I192" s="1">
        <f>IF('Planungstool Heizlast'!$B$4="EU13L",Leistungsdaten!E192,IF('Planungstool Heizlast'!$B$4="EU08L",A192,""))</f>
        <v>15.1544438895817</v>
      </c>
      <c r="J192" s="1">
        <f>IF(OR('Planungstool Heizlast'!$B$10="Fußbodenheizung 35°C",'Planungstool Heizlast'!$B$10="Niedertemperaturheizkörper 45°C"),IF('Planungstool Heizlast'!$B$4="EU13L",Leistungsdaten!F192,IF('Planungstool Heizlast'!$B$4="EU08L",Leistungsdaten!B192,"")),IF('Planungstool Heizlast'!$B$4="EU13L",Leistungsdaten!F192,IF('Planungstool Heizlast'!$B$4="EU08L",Leistungsdaten!B192,""))*0.9)*'Planungstool Heizlast'!$B$5</f>
        <v>11.008556348646399</v>
      </c>
      <c r="K192" s="1">
        <f>IF('Planungstool Heizlast'!$B$4="EU13L",Leistungsdaten!G192,IF('Planungstool Heizlast'!$B$4="EU08L",Leistungsdaten!C192,""))*$B$237</f>
        <v>1.1940133333333338</v>
      </c>
      <c r="L192" s="1">
        <f t="shared" si="3"/>
        <v>9.8145430153130651</v>
      </c>
    </row>
    <row r="193" spans="1:12" x14ac:dyDescent="0.25">
      <c r="A193">
        <v>15.3573001506841</v>
      </c>
      <c r="B193">
        <v>11.0046890511246</v>
      </c>
      <c r="C193">
        <f>IF(A193&lt;'Planungstool Heizlast'!$B$9,'Planungstool Heizlast'!$B$22,IF(A193&gt;15,'Planungstool Heizlast'!$B$21,'Planungstool Heizlast'!$B$20/(15-'Planungstool Heizlast'!$B$9)*(15-Leistungsdaten!A193)+'Planungstool Heizlast'!$B$21))</f>
        <v>1.085466666666667</v>
      </c>
      <c r="E193">
        <v>19.748711302743899</v>
      </c>
      <c r="F193">
        <v>16.697217822741202</v>
      </c>
      <c r="G193">
        <f>IF(E193&lt;'Planungstool Heizlast'!$B$9,'Planungstool Heizlast'!$B$22,IF(E193&gt;15,'Planungstool Heizlast'!$B$21,'Planungstool Heizlast'!$B$20/(15-'Planungstool Heizlast'!$B$9)*(15-Leistungsdaten!E193)+'Planungstool Heizlast'!$B$21))</f>
        <v>1.085466666666667</v>
      </c>
      <c r="I193" s="1">
        <f>IF('Planungstool Heizlast'!$B$4="EU13L",Leistungsdaten!E193,IF('Planungstool Heizlast'!$B$4="EU08L",A193,""))</f>
        <v>15.3573001506841</v>
      </c>
      <c r="J193" s="1">
        <f>IF(OR('Planungstool Heizlast'!$B$10="Fußbodenheizung 35°C",'Planungstool Heizlast'!$B$10="Niedertemperaturheizkörper 45°C"),IF('Planungstool Heizlast'!$B$4="EU13L",Leistungsdaten!F193,IF('Planungstool Heizlast'!$B$4="EU08L",Leistungsdaten!B193,"")),IF('Planungstool Heizlast'!$B$4="EU13L",Leistungsdaten!F193,IF('Planungstool Heizlast'!$B$4="EU08L",Leistungsdaten!B193,""))*0.9)*'Planungstool Heizlast'!$B$5</f>
        <v>11.0046890511246</v>
      </c>
      <c r="K193" s="1">
        <f>IF('Planungstool Heizlast'!$B$4="EU13L",Leistungsdaten!G193,IF('Planungstool Heizlast'!$B$4="EU08L",Leistungsdaten!C193,""))*$B$237</f>
        <v>1.1940133333333338</v>
      </c>
      <c r="L193" s="1">
        <f t="shared" si="3"/>
        <v>9.8106757177912662</v>
      </c>
    </row>
    <row r="194" spans="1:12" x14ac:dyDescent="0.25">
      <c r="A194">
        <v>15.5599047333864</v>
      </c>
      <c r="B194">
        <v>11.0004387086782</v>
      </c>
      <c r="C194">
        <f>IF(A194&lt;'Planungstool Heizlast'!$B$9,'Planungstool Heizlast'!$B$22,IF(A194&gt;15,'Planungstool Heizlast'!$B$21,'Planungstool Heizlast'!$B$20/(15-'Planungstool Heizlast'!$B$9)*(15-Leistungsdaten!A194)+'Planungstool Heizlast'!$B$21))</f>
        <v>1.085466666666667</v>
      </c>
      <c r="E194">
        <v>19.981001462545201</v>
      </c>
      <c r="F194">
        <v>16.747985074371101</v>
      </c>
      <c r="G194">
        <f>IF(E194&lt;'Planungstool Heizlast'!$B$9,'Planungstool Heizlast'!$B$22,IF(E194&gt;15,'Planungstool Heizlast'!$B$21,'Planungstool Heizlast'!$B$20/(15-'Planungstool Heizlast'!$B$9)*(15-Leistungsdaten!E194)+'Planungstool Heizlast'!$B$21))</f>
        <v>1.085466666666667</v>
      </c>
      <c r="I194" s="1">
        <f>IF('Planungstool Heizlast'!$B$4="EU13L",Leistungsdaten!E194,IF('Planungstool Heizlast'!$B$4="EU08L",A194,""))</f>
        <v>15.5599047333864</v>
      </c>
      <c r="J194" s="1">
        <f>IF(OR('Planungstool Heizlast'!$B$10="Fußbodenheizung 35°C",'Planungstool Heizlast'!$B$10="Niedertemperaturheizkörper 45°C"),IF('Planungstool Heizlast'!$B$4="EU13L",Leistungsdaten!F194,IF('Planungstool Heizlast'!$B$4="EU08L",Leistungsdaten!B194,"")),IF('Planungstool Heizlast'!$B$4="EU13L",Leistungsdaten!F194,IF('Planungstool Heizlast'!$B$4="EU08L",Leistungsdaten!B194,""))*0.9)*'Planungstool Heizlast'!$B$5</f>
        <v>11.0004387086782</v>
      </c>
      <c r="K194" s="1">
        <f>IF('Planungstool Heizlast'!$B$4="EU13L",Leistungsdaten!G194,IF('Planungstool Heizlast'!$B$4="EU08L",Leistungsdaten!C194,""))*$B$237</f>
        <v>1.1940133333333338</v>
      </c>
      <c r="L194" s="1">
        <f t="shared" si="3"/>
        <v>9.8064253753448654</v>
      </c>
    </row>
    <row r="195" spans="1:12" x14ac:dyDescent="0.25">
      <c r="A195">
        <v>15.7622572635882</v>
      </c>
      <c r="B195">
        <v>10.9958051643079</v>
      </c>
      <c r="C195">
        <f>IF(A195&lt;'Planungstool Heizlast'!$B$9,'Planungstool Heizlast'!$B$22,IF(A195&gt;15,'Planungstool Heizlast'!$B$21,'Planungstool Heizlast'!$B$20/(15-'Planungstool Heizlast'!$B$9)*(15-Leistungsdaten!A195)+'Planungstool Heizlast'!$B$21))</f>
        <v>1.085466666666667</v>
      </c>
      <c r="E195">
        <v>20.2132302360064</v>
      </c>
      <c r="F195">
        <v>16.7986453105562</v>
      </c>
      <c r="G195">
        <f>IF(E195&lt;'Planungstool Heizlast'!$B$9,'Planungstool Heizlast'!$B$22,IF(E195&gt;15,'Planungstool Heizlast'!$B$21,'Planungstool Heizlast'!$B$20/(15-'Planungstool Heizlast'!$B$9)*(15-Leistungsdaten!E195)+'Planungstool Heizlast'!$B$21))</f>
        <v>1.085466666666667</v>
      </c>
      <c r="I195" s="1">
        <f>IF('Planungstool Heizlast'!$B$4="EU13L",Leistungsdaten!E195,IF('Planungstool Heizlast'!$B$4="EU08L",A195,""))</f>
        <v>15.7622572635882</v>
      </c>
      <c r="J195" s="1">
        <f>IF(OR('Planungstool Heizlast'!$B$10="Fußbodenheizung 35°C",'Planungstool Heizlast'!$B$10="Niedertemperaturheizkörper 45°C"),IF('Planungstool Heizlast'!$B$4="EU13L",Leistungsdaten!F195,IF('Planungstool Heizlast'!$B$4="EU08L",Leistungsdaten!B195,"")),IF('Planungstool Heizlast'!$B$4="EU13L",Leistungsdaten!F195,IF('Planungstool Heizlast'!$B$4="EU08L",Leistungsdaten!B195,""))*0.9)*'Planungstool Heizlast'!$B$5</f>
        <v>10.9958051643079</v>
      </c>
      <c r="K195" s="1">
        <f>IF('Planungstool Heizlast'!$B$4="EU13L",Leistungsdaten!G195,IF('Planungstool Heizlast'!$B$4="EU08L",Leistungsdaten!C195,""))*$B$237</f>
        <v>1.1940133333333338</v>
      </c>
      <c r="L195" s="1">
        <f t="shared" si="3"/>
        <v>9.8017918309745653</v>
      </c>
    </row>
    <row r="196" spans="1:12" x14ac:dyDescent="0.25">
      <c r="A196">
        <v>15.9643573869524</v>
      </c>
      <c r="B196">
        <v>10.9907882909993</v>
      </c>
      <c r="C196">
        <f>IF(A196&lt;'Planungstool Heizlast'!$B$9,'Planungstool Heizlast'!$B$22,IF(A196&gt;15,'Planungstool Heizlast'!$B$21,'Planungstool Heizlast'!$B$20/(15-'Planungstool Heizlast'!$B$9)*(15-Leistungsdaten!A196)+'Planungstool Heizlast'!$B$21))</f>
        <v>1.085466666666667</v>
      </c>
      <c r="E196">
        <v>20.411403074195899</v>
      </c>
      <c r="F196">
        <v>16.7826615109404</v>
      </c>
      <c r="G196">
        <f>IF(E196&lt;'Planungstool Heizlast'!$B$9,'Planungstool Heizlast'!$B$22,IF(E196&gt;15,'Planungstool Heizlast'!$B$21,'Planungstool Heizlast'!$B$20/(15-'Planungstool Heizlast'!$B$9)*(15-Leistungsdaten!E196)+'Planungstool Heizlast'!$B$21))</f>
        <v>1.085466666666667</v>
      </c>
      <c r="I196" s="1">
        <f>IF('Planungstool Heizlast'!$B$4="EU13L",Leistungsdaten!E196,IF('Planungstool Heizlast'!$B$4="EU08L",A196,""))</f>
        <v>15.9643573869524</v>
      </c>
      <c r="J196" s="1">
        <f>IF(OR('Planungstool Heizlast'!$B$10="Fußbodenheizung 35°C",'Planungstool Heizlast'!$B$10="Niedertemperaturheizkörper 45°C"),IF('Planungstool Heizlast'!$B$4="EU13L",Leistungsdaten!F196,IF('Planungstool Heizlast'!$B$4="EU08L",Leistungsdaten!B196,"")),IF('Planungstool Heizlast'!$B$4="EU13L",Leistungsdaten!F196,IF('Planungstool Heizlast'!$B$4="EU08L",Leistungsdaten!B196,""))*0.9)*'Planungstool Heizlast'!$B$5</f>
        <v>10.9907882909993</v>
      </c>
      <c r="K196" s="1">
        <f>IF('Planungstool Heizlast'!$B$4="EU13L",Leistungsdaten!G196,IF('Planungstool Heizlast'!$B$4="EU08L",Leistungsdaten!C196,""))*$B$237</f>
        <v>1.1940133333333338</v>
      </c>
      <c r="L196" s="1">
        <f t="shared" si="3"/>
        <v>9.7967749576659653</v>
      </c>
    </row>
    <row r="197" spans="1:12" x14ac:dyDescent="0.25">
      <c r="A197">
        <v>16.166204768928999</v>
      </c>
      <c r="B197">
        <v>10.985387991757699</v>
      </c>
      <c r="C197">
        <f>IF(A197&lt;'Planungstool Heizlast'!$B$9,'Planungstool Heizlast'!$B$22,IF(A197&gt;15,'Planungstool Heizlast'!$B$21,'Planungstool Heizlast'!$B$20/(15-'Planungstool Heizlast'!$B$9)*(15-Leistungsdaten!A197)+'Planungstool Heizlast'!$B$21))</f>
        <v>1.085466666666667</v>
      </c>
      <c r="E197">
        <v>20.643393427534399</v>
      </c>
      <c r="F197">
        <v>16.8329021261831</v>
      </c>
      <c r="G197">
        <f>IF(E197&lt;'Planungstool Heizlast'!$B$9,'Planungstool Heizlast'!$B$22,IF(E197&gt;15,'Planungstool Heizlast'!$B$21,'Planungstool Heizlast'!$B$20/(15-'Planungstool Heizlast'!$B$9)*(15-Leistungsdaten!E197)+'Planungstool Heizlast'!$B$21))</f>
        <v>1.085466666666667</v>
      </c>
      <c r="I197" s="1">
        <f>IF('Planungstool Heizlast'!$B$4="EU13L",Leistungsdaten!E197,IF('Planungstool Heizlast'!$B$4="EU08L",A197,""))</f>
        <v>16.166204768928999</v>
      </c>
      <c r="J197" s="1">
        <f>IF(OR('Planungstool Heizlast'!$B$10="Fußbodenheizung 35°C",'Planungstool Heizlast'!$B$10="Niedertemperaturheizkörper 45°C"),IF('Planungstool Heizlast'!$B$4="EU13L",Leistungsdaten!F197,IF('Planungstool Heizlast'!$B$4="EU08L",Leistungsdaten!B197,"")),IF('Planungstool Heizlast'!$B$4="EU13L",Leistungsdaten!F197,IF('Planungstool Heizlast'!$B$4="EU08L",Leistungsdaten!B197,""))*0.9)*'Planungstool Heizlast'!$B$5</f>
        <v>10.985387991757699</v>
      </c>
      <c r="K197" s="1">
        <f>IF('Planungstool Heizlast'!$B$4="EU13L",Leistungsdaten!G197,IF('Planungstool Heizlast'!$B$4="EU08L",Leistungsdaten!C197,""))*$B$237</f>
        <v>1.1940133333333338</v>
      </c>
      <c r="L197" s="1">
        <f t="shared" si="3"/>
        <v>9.7913746584243651</v>
      </c>
    </row>
    <row r="198" spans="1:12" x14ac:dyDescent="0.25">
      <c r="A198">
        <v>16.392367001013199</v>
      </c>
      <c r="B198">
        <v>11.0243340202396</v>
      </c>
      <c r="C198">
        <f>IF(A198&lt;'Planungstool Heizlast'!$B$9,'Planungstool Heizlast'!$B$22,IF(A198&gt;15,'Planungstool Heizlast'!$B$21,'Planungstool Heizlast'!$B$20/(15-'Planungstool Heizlast'!$B$9)*(15-Leistungsdaten!A198)+'Planungstool Heizlast'!$B$21))</f>
        <v>1.085466666666667</v>
      </c>
      <c r="E198">
        <v>20.875318556049699</v>
      </c>
      <c r="F198">
        <v>16.883029970135201</v>
      </c>
      <c r="G198">
        <f>IF(E198&lt;'Planungstool Heizlast'!$B$9,'Planungstool Heizlast'!$B$22,IF(E198&gt;15,'Planungstool Heizlast'!$B$21,'Planungstool Heizlast'!$B$20/(15-'Planungstool Heizlast'!$B$9)*(15-Leistungsdaten!E198)+'Planungstool Heizlast'!$B$21))</f>
        <v>1.085466666666667</v>
      </c>
      <c r="I198" s="1">
        <f>IF('Planungstool Heizlast'!$B$4="EU13L",Leistungsdaten!E198,IF('Planungstool Heizlast'!$B$4="EU08L",A198,""))</f>
        <v>16.392367001013199</v>
      </c>
      <c r="J198" s="1">
        <f>IF(OR('Planungstool Heizlast'!$B$10="Fußbodenheizung 35°C",'Planungstool Heizlast'!$B$10="Niedertemperaturheizkörper 45°C"),IF('Planungstool Heizlast'!$B$4="EU13L",Leistungsdaten!F198,IF('Planungstool Heizlast'!$B$4="EU08L",Leistungsdaten!B198,"")),IF('Planungstool Heizlast'!$B$4="EU13L",Leistungsdaten!F198,IF('Planungstool Heizlast'!$B$4="EU08L",Leistungsdaten!B198,""))*0.9)*'Planungstool Heizlast'!$B$5</f>
        <v>11.0243340202396</v>
      </c>
      <c r="K198" s="1">
        <f>IF('Planungstool Heizlast'!$B$4="EU13L",Leistungsdaten!G198,IF('Planungstool Heizlast'!$B$4="EU08L",Leistungsdaten!C198,""))*$B$237</f>
        <v>1.1940133333333338</v>
      </c>
      <c r="L198" s="1">
        <f t="shared" si="3"/>
        <v>9.8303206869062656</v>
      </c>
    </row>
    <row r="199" spans="1:12" x14ac:dyDescent="0.25">
      <c r="A199">
        <v>16.6185084768547</v>
      </c>
      <c r="B199">
        <v>11.063206481287899</v>
      </c>
      <c r="C199">
        <f>IF(A199&lt;'Planungstool Heizlast'!$B$9,'Planungstool Heizlast'!$B$22,IF(A199&gt;15,'Planungstool Heizlast'!$B$21,'Planungstool Heizlast'!$B$20/(15-'Planungstool Heizlast'!$B$9)*(15-Leistungsdaten!A199)+'Planungstool Heizlast'!$B$21))</f>
        <v>1.085466666666667</v>
      </c>
      <c r="E199">
        <v>21.0728550718568</v>
      </c>
      <c r="F199">
        <v>16.865950509825499</v>
      </c>
      <c r="G199">
        <f>IF(E199&lt;'Planungstool Heizlast'!$B$9,'Planungstool Heizlast'!$B$22,IF(E199&gt;15,'Planungstool Heizlast'!$B$21,'Planungstool Heizlast'!$B$20/(15-'Planungstool Heizlast'!$B$9)*(15-Leistungsdaten!E199)+'Planungstool Heizlast'!$B$21))</f>
        <v>1.085466666666667</v>
      </c>
      <c r="I199" s="1">
        <f>IF('Planungstool Heizlast'!$B$4="EU13L",Leistungsdaten!E199,IF('Planungstool Heizlast'!$B$4="EU08L",A199,""))</f>
        <v>16.6185084768547</v>
      </c>
      <c r="J199" s="1">
        <f>IF(OR('Planungstool Heizlast'!$B$10="Fußbodenheizung 35°C",'Planungstool Heizlast'!$B$10="Niedertemperaturheizkörper 45°C"),IF('Planungstool Heizlast'!$B$4="EU13L",Leistungsdaten!F199,IF('Planungstool Heizlast'!$B$4="EU08L",Leistungsdaten!B199,"")),IF('Planungstool Heizlast'!$B$4="EU13L",Leistungsdaten!F199,IF('Planungstool Heizlast'!$B$4="EU08L",Leistungsdaten!B199,""))*0.9)*'Planungstool Heizlast'!$B$5</f>
        <v>11.063206481287899</v>
      </c>
      <c r="K199" s="1">
        <f>IF('Planungstool Heizlast'!$B$4="EU13L",Leistungsdaten!G199,IF('Planungstool Heizlast'!$B$4="EU08L",Leistungsdaten!C199,""))*$B$237</f>
        <v>1.1940133333333338</v>
      </c>
      <c r="L199" s="1">
        <f t="shared" si="3"/>
        <v>9.8691931479545651</v>
      </c>
    </row>
    <row r="200" spans="1:12" x14ac:dyDescent="0.25">
      <c r="A200">
        <v>16.819813803381901</v>
      </c>
      <c r="B200">
        <v>11.056933925766099</v>
      </c>
      <c r="C200">
        <f>IF(A200&lt;'Planungstool Heizlast'!$B$9,'Planungstool Heizlast'!$B$22,IF(A200&gt;15,'Planungstool Heizlast'!$B$21,'Planungstool Heizlast'!$B$20/(15-'Planungstool Heizlast'!$B$9)*(15-Leistungsdaten!A200)+'Planungstool Heizlast'!$B$21))</f>
        <v>1.085466666666667</v>
      </c>
      <c r="E200">
        <v>21.304535263537201</v>
      </c>
      <c r="F200">
        <v>16.915649401897799</v>
      </c>
      <c r="G200">
        <f>IF(E200&lt;'Planungstool Heizlast'!$B$9,'Planungstool Heizlast'!$B$22,IF(E200&gt;15,'Planungstool Heizlast'!$B$21,'Planungstool Heizlast'!$B$20/(15-'Planungstool Heizlast'!$B$9)*(15-Leistungsdaten!E200)+'Planungstool Heizlast'!$B$21))</f>
        <v>1.085466666666667</v>
      </c>
      <c r="I200" s="1">
        <f>IF('Planungstool Heizlast'!$B$4="EU13L",Leistungsdaten!E200,IF('Planungstool Heizlast'!$B$4="EU08L",A200,""))</f>
        <v>16.819813803381901</v>
      </c>
      <c r="J200" s="1">
        <f>IF(OR('Planungstool Heizlast'!$B$10="Fußbodenheizung 35°C",'Planungstool Heizlast'!$B$10="Niedertemperaturheizkörper 45°C"),IF('Planungstool Heizlast'!$B$4="EU13L",Leistungsdaten!F200,IF('Planungstool Heizlast'!$B$4="EU08L",Leistungsdaten!B200,"")),IF('Planungstool Heizlast'!$B$4="EU13L",Leistungsdaten!F200,IF('Planungstool Heizlast'!$B$4="EU08L",Leistungsdaten!B200,""))*0.9)*'Planungstool Heizlast'!$B$5</f>
        <v>11.056933925766099</v>
      </c>
      <c r="K200" s="1">
        <f>IF('Planungstool Heizlast'!$B$4="EU13L",Leistungsdaten!G200,IF('Planungstool Heizlast'!$B$4="EU08L",Leistungsdaten!C200,""))*$B$237</f>
        <v>1.1940133333333338</v>
      </c>
      <c r="L200" s="1">
        <f t="shared" si="3"/>
        <v>9.862920592432765</v>
      </c>
    </row>
    <row r="201" spans="1:12" x14ac:dyDescent="0.25">
      <c r="A201">
        <v>17.045787296819899</v>
      </c>
      <c r="B201">
        <v>11.0954841401945</v>
      </c>
      <c r="C201">
        <f>IF(A201&lt;'Planungstool Heizlast'!$B$9,'Planungstool Heizlast'!$B$22,IF(A201&gt;15,'Planungstool Heizlast'!$B$21,'Planungstool Heizlast'!$B$20/(15-'Planungstool Heizlast'!$B$9)*(15-Leistungsdaten!A201)+'Planungstool Heizlast'!$B$21))</f>
        <v>1.085466666666667</v>
      </c>
      <c r="E201">
        <v>21.536146371190299</v>
      </c>
      <c r="F201">
        <v>16.965229735397301</v>
      </c>
      <c r="G201">
        <f>IF(E201&lt;'Planungstool Heizlast'!$B$9,'Planungstool Heizlast'!$B$22,IF(E201&gt;15,'Planungstool Heizlast'!$B$21,'Planungstool Heizlast'!$B$20/(15-'Planungstool Heizlast'!$B$9)*(15-Leistungsdaten!E201)+'Planungstool Heizlast'!$B$21))</f>
        <v>1.085466666666667</v>
      </c>
      <c r="I201" s="1">
        <f>IF('Planungstool Heizlast'!$B$4="EU13L",Leistungsdaten!E201,IF('Planungstool Heizlast'!$B$4="EU08L",A201,""))</f>
        <v>17.045787296819899</v>
      </c>
      <c r="J201" s="1">
        <f>IF(OR('Planungstool Heizlast'!$B$10="Fußbodenheizung 35°C",'Planungstool Heizlast'!$B$10="Niedertemperaturheizkörper 45°C"),IF('Planungstool Heizlast'!$B$4="EU13L",Leistungsdaten!F201,IF('Planungstool Heizlast'!$B$4="EU08L",Leistungsdaten!B201,"")),IF('Planungstool Heizlast'!$B$4="EU13L",Leistungsdaten!F201,IF('Planungstool Heizlast'!$B$4="EU08L",Leistungsdaten!B201,""))*0.9)*'Planungstool Heizlast'!$B$5</f>
        <v>11.0954841401945</v>
      </c>
      <c r="K201" s="1">
        <f>IF('Planungstool Heizlast'!$B$4="EU13L",Leistungsdaten!G201,IF('Planungstool Heizlast'!$B$4="EU08L",Leistungsdaten!C201,""))*$B$237</f>
        <v>1.1940133333333338</v>
      </c>
      <c r="L201" s="1">
        <f t="shared" si="3"/>
        <v>9.9014708068611661</v>
      </c>
    </row>
    <row r="202" spans="1:12" x14ac:dyDescent="0.25">
      <c r="A202">
        <v>17.271736628516699</v>
      </c>
      <c r="B202">
        <v>11.1339552332119</v>
      </c>
      <c r="C202">
        <f>IF(A202&lt;'Planungstool Heizlast'!$B$9,'Planungstool Heizlast'!$B$22,IF(A202&gt;15,'Planungstool Heizlast'!$B$21,'Planungstool Heizlast'!$B$20/(15-'Planungstool Heizlast'!$B$9)*(15-Leistungsdaten!A202)+'Planungstool Heizlast'!$B$21))</f>
        <v>1.085466666666667</v>
      </c>
      <c r="E202">
        <v>21.7330395560884</v>
      </c>
      <c r="F202">
        <v>16.947046517935799</v>
      </c>
      <c r="G202">
        <f>IF(E202&lt;'Planungstool Heizlast'!$B$9,'Planungstool Heizlast'!$B$22,IF(E202&gt;15,'Planungstool Heizlast'!$B$21,'Planungstool Heizlast'!$B$20/(15-'Planungstool Heizlast'!$B$9)*(15-Leistungsdaten!E202)+'Planungstool Heizlast'!$B$21))</f>
        <v>1.085466666666667</v>
      </c>
      <c r="I202" s="1">
        <f>IF('Planungstool Heizlast'!$B$4="EU13L",Leistungsdaten!E202,IF('Planungstool Heizlast'!$B$4="EU08L",A202,""))</f>
        <v>17.271736628516699</v>
      </c>
      <c r="J202" s="1">
        <f>IF(OR('Planungstool Heizlast'!$B$10="Fußbodenheizung 35°C",'Planungstool Heizlast'!$B$10="Niedertemperaturheizkörper 45°C"),IF('Planungstool Heizlast'!$B$4="EU13L",Leistungsdaten!F202,IF('Planungstool Heizlast'!$B$4="EU08L",Leistungsdaten!B202,"")),IF('Planungstool Heizlast'!$B$4="EU13L",Leistungsdaten!F202,IF('Planungstool Heizlast'!$B$4="EU08L",Leistungsdaten!B202,""))*0.9)*'Planungstool Heizlast'!$B$5</f>
        <v>11.1339552332119</v>
      </c>
      <c r="K202" s="1">
        <f>IF('Planungstool Heizlast'!$B$4="EU13L",Leistungsdaten!G202,IF('Planungstool Heizlast'!$B$4="EU08L",Leistungsdaten!C202,""))*$B$237</f>
        <v>1.1940133333333338</v>
      </c>
      <c r="L202" s="1">
        <f t="shared" si="3"/>
        <v>9.9399418998785656</v>
      </c>
    </row>
    <row r="203" spans="1:12" x14ac:dyDescent="0.25">
      <c r="A203">
        <v>17.472492607986499</v>
      </c>
      <c r="B203">
        <v>11.1268008584663</v>
      </c>
      <c r="C203">
        <f>IF(A203&lt;'Planungstool Heizlast'!$B$9,'Planungstool Heizlast'!$B$22,IF(A203&gt;15,'Planungstool Heizlast'!$B$21,'Planungstool Heizlast'!$B$20/(15-'Planungstool Heizlast'!$B$9)*(15-Leistungsdaten!A203)+'Planungstool Heizlast'!$B$21))</f>
        <v>1.085466666666667</v>
      </c>
      <c r="E203">
        <v>21.964399222391901</v>
      </c>
      <c r="F203">
        <v>16.9961885871239</v>
      </c>
      <c r="G203">
        <f>IF(E203&lt;'Planungstool Heizlast'!$B$9,'Planungstool Heizlast'!$B$22,IF(E203&gt;15,'Planungstool Heizlast'!$B$21,'Planungstool Heizlast'!$B$20/(15-'Planungstool Heizlast'!$B$9)*(15-Leistungsdaten!E203)+'Planungstool Heizlast'!$B$21))</f>
        <v>1.085466666666667</v>
      </c>
      <c r="I203" s="1">
        <f>IF('Planungstool Heizlast'!$B$4="EU13L",Leistungsdaten!E203,IF('Planungstool Heizlast'!$B$4="EU08L",A203,""))</f>
        <v>17.472492607986499</v>
      </c>
      <c r="J203" s="1">
        <f>IF(OR('Planungstool Heizlast'!$B$10="Fußbodenheizung 35°C",'Planungstool Heizlast'!$B$10="Niedertemperaturheizkörper 45°C"),IF('Planungstool Heizlast'!$B$4="EU13L",Leistungsdaten!F203,IF('Planungstool Heizlast'!$B$4="EU08L",Leistungsdaten!B203,"")),IF('Planungstool Heizlast'!$B$4="EU13L",Leistungsdaten!F203,IF('Planungstool Heizlast'!$B$4="EU08L",Leistungsdaten!B203,""))*0.9)*'Planungstool Heizlast'!$B$5</f>
        <v>11.1268008584663</v>
      </c>
      <c r="K203" s="1">
        <f>IF('Planungstool Heizlast'!$B$4="EU13L",Leistungsdaten!G203,IF('Planungstool Heizlast'!$B$4="EU08L",Leistungsdaten!C203,""))*$B$237</f>
        <v>1.1940133333333338</v>
      </c>
      <c r="L203" s="1">
        <f t="shared" si="3"/>
        <v>9.9327875251329658</v>
      </c>
    </row>
    <row r="204" spans="1:12" x14ac:dyDescent="0.25">
      <c r="A204">
        <v>17.698267796420001</v>
      </c>
      <c r="B204">
        <v>11.1649402755179</v>
      </c>
      <c r="C204">
        <f>IF(A204&lt;'Planungstool Heizlast'!$B$9,'Planungstool Heizlast'!$B$22,IF(A204&gt;15,'Planungstool Heizlast'!$B$21,'Planungstool Heizlast'!$B$20/(15-'Planungstool Heizlast'!$B$9)*(15-Leistungsdaten!A204)+'Planungstool Heizlast'!$B$21))</f>
        <v>1.085466666666667</v>
      </c>
      <c r="E204">
        <v>22.195685924725201</v>
      </c>
      <c r="F204">
        <v>17.045206278992001</v>
      </c>
      <c r="G204">
        <f>IF(E204&lt;'Planungstool Heizlast'!$B$9,'Planungstool Heizlast'!$B$22,IF(E204&gt;15,'Planungstool Heizlast'!$B$21,'Planungstool Heizlast'!$B$20/(15-'Planungstool Heizlast'!$B$9)*(15-Leistungsdaten!E204)+'Planungstool Heizlast'!$B$21))</f>
        <v>1.085466666666667</v>
      </c>
      <c r="I204" s="1">
        <f>IF('Planungstool Heizlast'!$B$4="EU13L",Leistungsdaten!E204,IF('Planungstool Heizlast'!$B$4="EU08L",A204,""))</f>
        <v>17.698267796420001</v>
      </c>
      <c r="J204" s="1">
        <f>IF(OR('Planungstool Heizlast'!$B$10="Fußbodenheizung 35°C",'Planungstool Heizlast'!$B$10="Niedertemperaturheizkörper 45°C"),IF('Planungstool Heizlast'!$B$4="EU13L",Leistungsdaten!F204,IF('Planungstool Heizlast'!$B$4="EU08L",Leistungsdaten!B204,"")),IF('Planungstool Heizlast'!$B$4="EU13L",Leistungsdaten!F204,IF('Planungstool Heizlast'!$B$4="EU08L",Leistungsdaten!B204,""))*0.9)*'Planungstool Heizlast'!$B$5</f>
        <v>11.1649402755179</v>
      </c>
      <c r="K204" s="1">
        <f>IF('Planungstool Heizlast'!$B$4="EU13L",Leistungsdaten!G204,IF('Planungstool Heizlast'!$B$4="EU08L",Leistungsdaten!C204,""))*$B$237</f>
        <v>1.1940133333333338</v>
      </c>
      <c r="L204" s="1">
        <f t="shared" si="3"/>
        <v>9.9709269421845654</v>
      </c>
    </row>
    <row r="205" spans="1:12" x14ac:dyDescent="0.25">
      <c r="A205">
        <v>17.9240154135605</v>
      </c>
      <c r="B205">
        <v>11.202995011032</v>
      </c>
      <c r="C205">
        <f>IF(A205&lt;'Planungstool Heizlast'!$B$9,'Planungstool Heizlast'!$B$22,IF(A205&gt;15,'Planungstool Heizlast'!$B$21,'Planungstool Heizlast'!$B$20/(15-'Planungstool Heizlast'!$B$9)*(15-Leistungsdaten!A205)+'Planungstool Heizlast'!$B$21))</f>
        <v>1.085466666666667</v>
      </c>
      <c r="E205">
        <v>22.391928926493499</v>
      </c>
      <c r="F205">
        <v>17.025911445062899</v>
      </c>
      <c r="G205">
        <f>IF(E205&lt;'Planungstool Heizlast'!$B$9,'Planungstool Heizlast'!$B$22,IF(E205&gt;15,'Planungstool Heizlast'!$B$21,'Planungstool Heizlast'!$B$20/(15-'Planungstool Heizlast'!$B$9)*(15-Leistungsdaten!E205)+'Planungstool Heizlast'!$B$21))</f>
        <v>1.085466666666667</v>
      </c>
      <c r="I205" s="1">
        <f>IF('Planungstool Heizlast'!$B$4="EU13L",Leistungsdaten!E205,IF('Planungstool Heizlast'!$B$4="EU08L",A205,""))</f>
        <v>17.9240154135605</v>
      </c>
      <c r="J205" s="1">
        <f>IF(OR('Planungstool Heizlast'!$B$10="Fußbodenheizung 35°C",'Planungstool Heizlast'!$B$10="Niedertemperaturheizkörper 45°C"),IF('Planungstool Heizlast'!$B$4="EU13L",Leistungsdaten!F205,IF('Planungstool Heizlast'!$B$4="EU08L",Leistungsdaten!B205,"")),IF('Planungstool Heizlast'!$B$4="EU13L",Leistungsdaten!F205,IF('Planungstool Heizlast'!$B$4="EU08L",Leistungsdaten!B205,""))*0.9)*'Planungstool Heizlast'!$B$5</f>
        <v>11.202995011032</v>
      </c>
      <c r="K205" s="1">
        <f>IF('Planungstool Heizlast'!$B$4="EU13L",Leistungsdaten!G205,IF('Planungstool Heizlast'!$B$4="EU08L",Leistungsdaten!C205,""))*$B$237</f>
        <v>1.1940133333333338</v>
      </c>
      <c r="L205" s="1">
        <f t="shared" si="3"/>
        <v>10.008981677698666</v>
      </c>
    </row>
    <row r="206" spans="1:12" x14ac:dyDescent="0.25">
      <c r="A206">
        <v>18.124214970158899</v>
      </c>
      <c r="B206">
        <v>11.1949495815134</v>
      </c>
      <c r="C206">
        <f>IF(A206&lt;'Planungstool Heizlast'!$B$9,'Planungstool Heizlast'!$B$22,IF(A206&gt;15,'Planungstool Heizlast'!$B$21,'Planungstool Heizlast'!$B$20/(15-'Planungstool Heizlast'!$B$9)*(15-Leistungsdaten!A206)+'Planungstool Heizlast'!$B$21))</f>
        <v>1.085466666666667</v>
      </c>
      <c r="E206">
        <v>22.622957695115801</v>
      </c>
      <c r="F206">
        <v>17.0744815786266</v>
      </c>
      <c r="G206">
        <f>IF(E206&lt;'Planungstool Heizlast'!$B$9,'Planungstool Heizlast'!$B$22,IF(E206&gt;15,'Planungstool Heizlast'!$B$21,'Planungstool Heizlast'!$B$20/(15-'Planungstool Heizlast'!$B$9)*(15-Leistungsdaten!E206)+'Planungstool Heizlast'!$B$21))</f>
        <v>1.085466666666667</v>
      </c>
      <c r="I206" s="1">
        <f>IF('Planungstool Heizlast'!$B$4="EU13L",Leistungsdaten!E206,IF('Planungstool Heizlast'!$B$4="EU08L",A206,""))</f>
        <v>18.124214970158899</v>
      </c>
      <c r="J206" s="1">
        <f>IF(OR('Planungstool Heizlast'!$B$10="Fußbodenheizung 35°C",'Planungstool Heizlast'!$B$10="Niedertemperaturheizkörper 45°C"),IF('Planungstool Heizlast'!$B$4="EU13L",Leistungsdaten!F206,IF('Planungstool Heizlast'!$B$4="EU08L",Leistungsdaten!B206,"")),IF('Planungstool Heizlast'!$B$4="EU13L",Leistungsdaten!F206,IF('Planungstool Heizlast'!$B$4="EU08L",Leistungsdaten!B206,""))*0.9)*'Planungstool Heizlast'!$B$5</f>
        <v>11.1949495815134</v>
      </c>
      <c r="K206" s="1">
        <f>IF('Planungstool Heizlast'!$B$4="EU13L",Leistungsdaten!G206,IF('Planungstool Heizlast'!$B$4="EU08L",Leistungsdaten!C206,""))*$B$237</f>
        <v>1.1940133333333338</v>
      </c>
      <c r="L206" s="1">
        <f t="shared" si="3"/>
        <v>10.000936248180066</v>
      </c>
    </row>
    <row r="207" spans="1:12" x14ac:dyDescent="0.25">
      <c r="A207">
        <v>18.3497823331933</v>
      </c>
      <c r="B207">
        <v>11.2326632875995</v>
      </c>
      <c r="C207">
        <f>IF(A207&lt;'Planungstool Heizlast'!$B$9,'Planungstool Heizlast'!$B$22,IF(A207&gt;15,'Planungstool Heizlast'!$B$21,'Planungstool Heizlast'!$B$20/(15-'Planungstool Heizlast'!$B$9)*(15-Leistungsdaten!A207)+'Planungstool Heizlast'!$B$21))</f>
        <v>1.085466666666667</v>
      </c>
      <c r="E207">
        <v>22.8539095990673</v>
      </c>
      <c r="F207">
        <v>17.122921484630599</v>
      </c>
      <c r="G207">
        <f>IF(E207&lt;'Planungstool Heizlast'!$B$9,'Planungstool Heizlast'!$B$22,IF(E207&gt;15,'Planungstool Heizlast'!$B$21,'Planungstool Heizlast'!$B$20/(15-'Planungstool Heizlast'!$B$9)*(15-Leistungsdaten!E207)+'Planungstool Heizlast'!$B$21))</f>
        <v>1.085466666666667</v>
      </c>
      <c r="I207" s="1">
        <f>IF('Planungstool Heizlast'!$B$4="EU13L",Leistungsdaten!E207,IF('Planungstool Heizlast'!$B$4="EU08L",A207,""))</f>
        <v>18.3497823331933</v>
      </c>
      <c r="J207" s="1">
        <f>IF(OR('Planungstool Heizlast'!$B$10="Fußbodenheizung 35°C",'Planungstool Heizlast'!$B$10="Niedertemperaturheizkörper 45°C"),IF('Planungstool Heizlast'!$B$4="EU13L",Leistungsdaten!F207,IF('Planungstool Heizlast'!$B$4="EU08L",Leistungsdaten!B207,"")),IF('Planungstool Heizlast'!$B$4="EU13L",Leistungsdaten!F207,IF('Planungstool Heizlast'!$B$4="EU08L",Leistungsdaten!B207,""))*0.9)*'Planungstool Heizlast'!$B$5</f>
        <v>11.2326632875995</v>
      </c>
      <c r="K207" s="1">
        <f>IF('Planungstool Heizlast'!$B$4="EU13L",Leistungsdaten!G207,IF('Planungstool Heizlast'!$B$4="EU08L",Leistungsdaten!C207,""))*$B$237</f>
        <v>1.1940133333333338</v>
      </c>
      <c r="L207" s="1">
        <f t="shared" si="3"/>
        <v>10.038649954266166</v>
      </c>
    </row>
    <row r="208" spans="1:12" x14ac:dyDescent="0.25">
      <c r="A208">
        <v>18.575318711311802</v>
      </c>
      <c r="B208">
        <v>11.270286745845301</v>
      </c>
      <c r="C208">
        <f>IF(A208&lt;'Planungstool Heizlast'!$B$9,'Planungstool Heizlast'!$B$22,IF(A208&gt;15,'Planungstool Heizlast'!$B$21,'Planungstool Heizlast'!$B$20/(15-'Planungstool Heizlast'!$B$9)*(15-Leistungsdaten!A208)+'Planungstool Heizlast'!$B$21))</f>
        <v>1.085466666666667</v>
      </c>
      <c r="E208">
        <v>23.049495721733599</v>
      </c>
      <c r="F208">
        <v>17.102507411972599</v>
      </c>
      <c r="G208">
        <f>IF(E208&lt;'Planungstool Heizlast'!$B$9,'Planungstool Heizlast'!$B$22,IF(E208&gt;15,'Planungstool Heizlast'!$B$21,'Planungstool Heizlast'!$B$20/(15-'Planungstool Heizlast'!$B$9)*(15-Leistungsdaten!E208)+'Planungstool Heizlast'!$B$21))</f>
        <v>1.085466666666667</v>
      </c>
      <c r="I208" s="1">
        <f>IF('Planungstool Heizlast'!$B$4="EU13L",Leistungsdaten!E208,IF('Planungstool Heizlast'!$B$4="EU08L",A208,""))</f>
        <v>18.575318711311802</v>
      </c>
      <c r="J208" s="1">
        <f>IF(OR('Planungstool Heizlast'!$B$10="Fußbodenheizung 35°C",'Planungstool Heizlast'!$B$10="Niedertemperaturheizkörper 45°C"),IF('Planungstool Heizlast'!$B$4="EU13L",Leistungsdaten!F208,IF('Planungstool Heizlast'!$B$4="EU08L",Leistungsdaten!B208,"")),IF('Planungstool Heizlast'!$B$4="EU13L",Leistungsdaten!F208,IF('Planungstool Heizlast'!$B$4="EU08L",Leistungsdaten!B208,""))*0.9)*'Planungstool Heizlast'!$B$5</f>
        <v>11.270286745845301</v>
      </c>
      <c r="K208" s="1">
        <f>IF('Planungstool Heizlast'!$B$4="EU13L",Leistungsdaten!G208,IF('Planungstool Heizlast'!$B$4="EU08L",Leistungsdaten!C208,""))*$B$237</f>
        <v>1.1940133333333338</v>
      </c>
      <c r="L208" s="1">
        <f t="shared" si="3"/>
        <v>10.076273412511966</v>
      </c>
    </row>
    <row r="209" spans="1:12" x14ac:dyDescent="0.25">
      <c r="A209">
        <v>18.774954985064198</v>
      </c>
      <c r="B209">
        <v>11.2613413534686</v>
      </c>
      <c r="C209">
        <f>IF(A209&lt;'Planungstool Heizlast'!$B$9,'Planungstool Heizlast'!$B$22,IF(A209&gt;15,'Planungstool Heizlast'!$B$21,'Planungstool Heizlast'!$B$20/(15-'Planungstool Heizlast'!$B$9)*(15-Leistungsdaten!A209)+'Planungstool Heizlast'!$B$21))</f>
        <v>1.085466666666667</v>
      </c>
      <c r="E209">
        <v>23.280183211721798</v>
      </c>
      <c r="F209">
        <v>17.1504904840507</v>
      </c>
      <c r="G209">
        <f>IF(E209&lt;'Planungstool Heizlast'!$B$9,'Planungstool Heizlast'!$B$22,IF(E209&gt;15,'Planungstool Heizlast'!$B$21,'Planungstool Heizlast'!$B$20/(15-'Planungstool Heizlast'!$B$9)*(15-Leistungsdaten!E209)+'Planungstool Heizlast'!$B$21))</f>
        <v>1.085466666666667</v>
      </c>
      <c r="I209" s="1">
        <f>IF('Planungstool Heizlast'!$B$4="EU13L",Leistungsdaten!E209,IF('Planungstool Heizlast'!$B$4="EU08L",A209,""))</f>
        <v>18.774954985064198</v>
      </c>
      <c r="J209" s="1">
        <f>IF(OR('Planungstool Heizlast'!$B$10="Fußbodenheizung 35°C",'Planungstool Heizlast'!$B$10="Niedertemperaturheizkörper 45°C"),IF('Planungstool Heizlast'!$B$4="EU13L",Leistungsdaten!F209,IF('Planungstool Heizlast'!$B$4="EU08L",Leistungsdaten!B209,"")),IF('Planungstool Heizlast'!$B$4="EU13L",Leistungsdaten!F209,IF('Planungstool Heizlast'!$B$4="EU08L",Leistungsdaten!B209,""))*0.9)*'Planungstool Heizlast'!$B$5</f>
        <v>11.2613413534686</v>
      </c>
      <c r="K209" s="1">
        <f>IF('Planungstool Heizlast'!$B$4="EU13L",Leistungsdaten!G209,IF('Planungstool Heizlast'!$B$4="EU08L",Leistungsdaten!C209,""))*$B$237</f>
        <v>1.1940133333333338</v>
      </c>
      <c r="L209" s="1">
        <f t="shared" si="3"/>
        <v>10.067328020135266</v>
      </c>
    </row>
    <row r="210" spans="1:12" x14ac:dyDescent="0.25">
      <c r="A210">
        <v>19.000305048220898</v>
      </c>
      <c r="B210">
        <v>11.298614504663</v>
      </c>
      <c r="C210">
        <f>IF(A210&lt;'Planungstool Heizlast'!$B$9,'Planungstool Heizlast'!$B$22,IF(A210&gt;15,'Planungstool Heizlast'!$B$21,'Planungstool Heizlast'!$B$20/(15-'Planungstool Heizlast'!$B$9)*(15-Leistungsdaten!A210)+'Planungstool Heizlast'!$B$21))</f>
        <v>1.085466666666667</v>
      </c>
      <c r="E210">
        <v>23.510789915562501</v>
      </c>
      <c r="F210">
        <v>17.198337446808701</v>
      </c>
      <c r="G210">
        <f>IF(E210&lt;'Planungstool Heizlast'!$B$9,'Planungstool Heizlast'!$B$22,IF(E210&gt;15,'Planungstool Heizlast'!$B$21,'Planungstool Heizlast'!$B$20/(15-'Planungstool Heizlast'!$B$9)*(15-Leistungsdaten!E210)+'Planungstool Heizlast'!$B$21))</f>
        <v>1.085466666666667</v>
      </c>
      <c r="I210" s="1">
        <f>IF('Planungstool Heizlast'!$B$4="EU13L",Leistungsdaten!E210,IF('Planungstool Heizlast'!$B$4="EU08L",A210,""))</f>
        <v>19.000305048220898</v>
      </c>
      <c r="J210" s="1">
        <f>IF(OR('Planungstool Heizlast'!$B$10="Fußbodenheizung 35°C",'Planungstool Heizlast'!$B$10="Niedertemperaturheizkörper 45°C"),IF('Planungstool Heizlast'!$B$4="EU13L",Leistungsdaten!F210,IF('Planungstool Heizlast'!$B$4="EU08L",Leistungsdaten!B210,"")),IF('Planungstool Heizlast'!$B$4="EU13L",Leistungsdaten!F210,IF('Planungstool Heizlast'!$B$4="EU08L",Leistungsdaten!B210,""))*0.9)*'Planungstool Heizlast'!$B$5</f>
        <v>11.298614504663</v>
      </c>
      <c r="K210" s="1">
        <f>IF('Planungstool Heizlast'!$B$4="EU13L",Leistungsdaten!G210,IF('Planungstool Heizlast'!$B$4="EU08L",Leistungsdaten!C210,""))*$B$237</f>
        <v>1.1940133333333338</v>
      </c>
      <c r="L210" s="1">
        <f t="shared" si="3"/>
        <v>10.104601171329666</v>
      </c>
    </row>
    <row r="211" spans="1:12" x14ac:dyDescent="0.25">
      <c r="A211">
        <v>19.225620708749702</v>
      </c>
      <c r="B211">
        <v>11.335791835509999</v>
      </c>
      <c r="C211">
        <f>IF(A211&lt;'Planungstool Heizlast'!$B$9,'Planungstool Heizlast'!$B$22,IF(A211&gt;15,'Planungstool Heizlast'!$B$21,'Planungstool Heizlast'!$B$20/(15-'Planungstool Heizlast'!$B$9)*(15-Leistungsdaten!A211)+'Planungstool Heizlast'!$B$21))</f>
        <v>1.085466666666667</v>
      </c>
      <c r="E211">
        <v>23.705712619345999</v>
      </c>
      <c r="F211">
        <v>17.176796750128702</v>
      </c>
      <c r="G211">
        <f>IF(E211&lt;'Planungstool Heizlast'!$B$9,'Planungstool Heizlast'!$B$22,IF(E211&gt;15,'Planungstool Heizlast'!$B$21,'Planungstool Heizlast'!$B$20/(15-'Planungstool Heizlast'!$B$9)*(15-Leistungsdaten!E211)+'Planungstool Heizlast'!$B$21))</f>
        <v>1.085466666666667</v>
      </c>
      <c r="I211" s="1">
        <f>IF('Planungstool Heizlast'!$B$4="EU13L",Leistungsdaten!E211,IF('Planungstool Heizlast'!$B$4="EU08L",A211,""))</f>
        <v>19.225620708749702</v>
      </c>
      <c r="J211" s="1">
        <f>IF(OR('Planungstool Heizlast'!$B$10="Fußbodenheizung 35°C",'Planungstool Heizlast'!$B$10="Niedertemperaturheizkörper 45°C"),IF('Planungstool Heizlast'!$B$4="EU13L",Leistungsdaten!F211,IF('Planungstool Heizlast'!$B$4="EU08L",Leistungsdaten!B211,"")),IF('Planungstool Heizlast'!$B$4="EU13L",Leistungsdaten!F211,IF('Planungstool Heizlast'!$B$4="EU08L",Leistungsdaten!B211,""))*0.9)*'Planungstool Heizlast'!$B$5</f>
        <v>11.335791835509999</v>
      </c>
      <c r="K211" s="1">
        <f>IF('Planungstool Heizlast'!$B$4="EU13L",Leistungsdaten!G211,IF('Planungstool Heizlast'!$B$4="EU08L",Leistungsdaten!C211,""))*$B$237</f>
        <v>1.1940133333333338</v>
      </c>
      <c r="L211" s="1">
        <f t="shared" si="3"/>
        <v>10.141778502176665</v>
      </c>
    </row>
    <row r="212" spans="1:12" x14ac:dyDescent="0.25">
      <c r="A212">
        <v>19.424687055556898</v>
      </c>
      <c r="B212">
        <v>11.325937899708499</v>
      </c>
      <c r="C212">
        <f>IF(A212&lt;'Planungstool Heizlast'!$B$9,'Planungstool Heizlast'!$B$22,IF(A212&gt;15,'Planungstool Heizlast'!$B$21,'Planungstool Heizlast'!$B$20/(15-'Planungstool Heizlast'!$B$9)*(15-Leistungsdaten!A212)+'Planungstool Heizlast'!$B$21))</f>
        <v>1.085466666666667</v>
      </c>
      <c r="E212">
        <v>23.936048441036299</v>
      </c>
      <c r="F212">
        <v>17.224177621644099</v>
      </c>
      <c r="G212">
        <f>IF(E212&lt;'Planungstool Heizlast'!$B$9,'Planungstool Heizlast'!$B$22,IF(E212&gt;15,'Planungstool Heizlast'!$B$21,'Planungstool Heizlast'!$B$20/(15-'Planungstool Heizlast'!$B$9)*(15-Leistungsdaten!E212)+'Planungstool Heizlast'!$B$21))</f>
        <v>1.085466666666667</v>
      </c>
      <c r="I212" s="1">
        <f>IF('Planungstool Heizlast'!$B$4="EU13L",Leistungsdaten!E212,IF('Planungstool Heizlast'!$B$4="EU08L",A212,""))</f>
        <v>19.424687055556898</v>
      </c>
      <c r="J212" s="1">
        <f>IF(OR('Planungstool Heizlast'!$B$10="Fußbodenheizung 35°C",'Planungstool Heizlast'!$B$10="Niedertemperaturheizkörper 45°C"),IF('Planungstool Heizlast'!$B$4="EU13L",Leistungsdaten!F212,IF('Planungstool Heizlast'!$B$4="EU08L",Leistungsdaten!B212,"")),IF('Planungstool Heizlast'!$B$4="EU13L",Leistungsdaten!F212,IF('Planungstool Heizlast'!$B$4="EU08L",Leistungsdaten!B212,""))*0.9)*'Planungstool Heizlast'!$B$5</f>
        <v>11.325937899708499</v>
      </c>
      <c r="K212" s="1">
        <f>IF('Planungstool Heizlast'!$B$4="EU13L",Leistungsdaten!G212,IF('Planungstool Heizlast'!$B$4="EU08L",Leistungsdaten!C212,""))*$B$237</f>
        <v>1.1940133333333338</v>
      </c>
      <c r="L212" s="1">
        <f t="shared" si="3"/>
        <v>10.131924566375165</v>
      </c>
    </row>
    <row r="213" spans="1:12" x14ac:dyDescent="0.25">
      <c r="A213">
        <v>19.649810390223799</v>
      </c>
      <c r="B213">
        <v>11.362755721671499</v>
      </c>
      <c r="C213">
        <f>IF(A213&lt;'Planungstool Heizlast'!$B$9,'Planungstool Heizlast'!$B$22,IF(A213&gt;15,'Planungstool Heizlast'!$B$21,'Planungstool Heizlast'!$B$20/(15-'Planungstool Heizlast'!$B$9)*(15-Leistungsdaten!A213)+'Planungstool Heizlast'!$B$21))</f>
        <v>1.085466666666667</v>
      </c>
      <c r="E213">
        <v>24.166299534308202</v>
      </c>
      <c r="F213">
        <v>17.271416470530699</v>
      </c>
      <c r="G213">
        <f>IF(E213&lt;'Planungstool Heizlast'!$B$9,'Planungstool Heizlast'!$B$22,IF(E213&gt;15,'Planungstool Heizlast'!$B$21,'Planungstool Heizlast'!$B$20/(15-'Planungstool Heizlast'!$B$9)*(15-Leistungsdaten!E213)+'Planungstool Heizlast'!$B$21))</f>
        <v>1.085466666666667</v>
      </c>
      <c r="I213" s="1">
        <f>IF('Planungstool Heizlast'!$B$4="EU13L",Leistungsdaten!E213,IF('Planungstool Heizlast'!$B$4="EU08L",A213,""))</f>
        <v>19.649810390223799</v>
      </c>
      <c r="J213" s="1">
        <f>IF(OR('Planungstool Heizlast'!$B$10="Fußbodenheizung 35°C",'Planungstool Heizlast'!$B$10="Niedertemperaturheizkörper 45°C"),IF('Planungstool Heizlast'!$B$4="EU13L",Leistungsdaten!F213,IF('Planungstool Heizlast'!$B$4="EU08L",Leistungsdaten!B213,"")),IF('Planungstool Heizlast'!$B$4="EU13L",Leistungsdaten!F213,IF('Planungstool Heizlast'!$B$4="EU08L",Leistungsdaten!B213,""))*0.9)*'Planungstool Heizlast'!$B$5</f>
        <v>11.362755721671499</v>
      </c>
      <c r="K213" s="1">
        <f>IF('Planungstool Heizlast'!$B$4="EU13L",Leistungsdaten!G213,IF('Planungstool Heizlast'!$B$4="EU08L",Leistungsdaten!C213,""))*$B$237</f>
        <v>1.1940133333333338</v>
      </c>
      <c r="L213" s="1">
        <f t="shared" ref="L213:L214" si="4">J213-K213</f>
        <v>10.168742388338165</v>
      </c>
    </row>
    <row r="214" spans="1:12" x14ac:dyDescent="0.25">
      <c r="A214">
        <v>19.874895900441999</v>
      </c>
      <c r="B214">
        <v>11.3994721445466</v>
      </c>
      <c r="C214">
        <f>IF(A214&lt;'Planungstool Heizlast'!$B$9,'Planungstool Heizlast'!$B$22,IF(A214&gt;15,'Planungstool Heizlast'!$B$21,'Planungstool Heizlast'!$B$20/(15-'Planungstool Heizlast'!$B$9)*(15-Leistungsdaten!A214)+'Planungstool Heizlast'!$B$21))</f>
        <v>1.085466666666667</v>
      </c>
      <c r="E214">
        <v>24.360552435561999</v>
      </c>
      <c r="F214">
        <v>17.248742001415899</v>
      </c>
      <c r="G214">
        <f>IF(E214&lt;'Planungstool Heizlast'!$B$9,'Planungstool Heizlast'!$B$22,IF(E214&gt;15,'Planungstool Heizlast'!$B$21,'Planungstool Heizlast'!$B$20/(15-'Planungstool Heizlast'!$B$9)*(15-Leistungsdaten!E214)+'Planungstool Heizlast'!$B$21))</f>
        <v>1.085466666666667</v>
      </c>
      <c r="I214" s="1">
        <f>IF('Planungstool Heizlast'!$B$4="EU13L",Leistungsdaten!E214,IF('Planungstool Heizlast'!$B$4="EU08L",A214,""))</f>
        <v>19.874895900441999</v>
      </c>
      <c r="J214" s="1">
        <f>IF(OR('Planungstool Heizlast'!$B$10="Fußbodenheizung 35°C",'Planungstool Heizlast'!$B$10="Niedertemperaturheizkörper 45°C"),IF('Planungstool Heizlast'!$B$4="EU13L",Leistungsdaten!F214,IF('Planungstool Heizlast'!$B$4="EU08L",Leistungsdaten!B214,"")),IF('Planungstool Heizlast'!$B$4="EU13L",Leistungsdaten!F214,IF('Planungstool Heizlast'!$B$4="EU08L",Leistungsdaten!B214,""))*0.9)*'Planungstool Heizlast'!$B$5</f>
        <v>11.3994721445466</v>
      </c>
      <c r="K214" s="1">
        <f>IF('Planungstool Heizlast'!$B$4="EU13L",Leistungsdaten!G214,IF('Planungstool Heizlast'!$B$4="EU08L",Leistungsdaten!C214,""))*$B$237</f>
        <v>1.1940133333333338</v>
      </c>
      <c r="L214" s="1">
        <f t="shared" si="4"/>
        <v>10.205458811213266</v>
      </c>
    </row>
    <row r="215" spans="1:12" x14ac:dyDescent="0.25">
      <c r="I215" s="1"/>
      <c r="J215" s="1"/>
      <c r="K215" s="1"/>
      <c r="L215" s="1"/>
    </row>
    <row r="216" spans="1:12" x14ac:dyDescent="0.25">
      <c r="B216">
        <v>-22</v>
      </c>
      <c r="C216">
        <v>-10</v>
      </c>
      <c r="D216">
        <v>2</v>
      </c>
      <c r="I216" s="1"/>
      <c r="J216" s="1"/>
      <c r="K216" s="1"/>
      <c r="L216" s="1"/>
    </row>
    <row r="217" spans="1:12" x14ac:dyDescent="0.25">
      <c r="A217" t="s">
        <v>61</v>
      </c>
      <c r="B217" t="s">
        <v>56</v>
      </c>
      <c r="C217" t="s">
        <v>62</v>
      </c>
      <c r="D217" t="s">
        <v>63</v>
      </c>
      <c r="F217" t="s">
        <v>68</v>
      </c>
      <c r="I217" s="1"/>
      <c r="J217" s="1"/>
      <c r="K217" s="1"/>
      <c r="L217" s="1"/>
    </row>
    <row r="218" spans="1:12" x14ac:dyDescent="0.25">
      <c r="A218">
        <v>35</v>
      </c>
      <c r="B218">
        <v>4.9400000000000004</v>
      </c>
      <c r="C218">
        <v>5.66</v>
      </c>
      <c r="D218">
        <v>6.49</v>
      </c>
      <c r="F218">
        <f>(C218-B218)/($C$216-$B$216)*('Planungstool Heizlast'!$B$9-Leistungsdaten!$B$216)+Leistungsdaten!B218</f>
        <v>5.48</v>
      </c>
      <c r="I218" s="1"/>
      <c r="J218" s="1"/>
      <c r="K218" s="1"/>
      <c r="L218" s="1"/>
    </row>
    <row r="219" spans="1:12" x14ac:dyDescent="0.25">
      <c r="A219">
        <v>45</v>
      </c>
      <c r="B219">
        <f>(B218-B220)/($A$218-$A$220)*($A$219-$A$220)+B220</f>
        <v>4.5199999999999996</v>
      </c>
      <c r="C219">
        <f t="shared" ref="C219" si="5">(C218-C220)/($A$218-$A$220)*($A$219-$A$220)+C220</f>
        <v>5.07</v>
      </c>
      <c r="D219">
        <f>(D218-D220)/($A$218-$A$220)*($A$219-$A$220)+D220</f>
        <v>5.79</v>
      </c>
      <c r="F219">
        <f>(C219-B219)/($C$216-$B$216)*('Planungstool Heizlast'!$B$9-Leistungsdaten!$B$216)+Leistungsdaten!B219</f>
        <v>4.9325000000000001</v>
      </c>
      <c r="I219" s="1"/>
      <c r="J219" s="1"/>
      <c r="K219" s="1"/>
      <c r="L219" s="1"/>
    </row>
    <row r="220" spans="1:12" x14ac:dyDescent="0.25">
      <c r="A220">
        <v>55</v>
      </c>
      <c r="B220">
        <v>4.0999999999999996</v>
      </c>
      <c r="C220">
        <v>4.4800000000000004</v>
      </c>
      <c r="D220">
        <v>5.09</v>
      </c>
      <c r="F220">
        <f>(C220-B220)/($C$216-$B$216)*('Planungstool Heizlast'!$B$9-Leistungsdaten!$B$216)+Leistungsdaten!B220</f>
        <v>4.3849999999999998</v>
      </c>
      <c r="I220" s="1"/>
      <c r="J220" s="1"/>
      <c r="K220" s="1"/>
      <c r="L220" s="1"/>
    </row>
    <row r="221" spans="1:12" x14ac:dyDescent="0.25">
      <c r="A221">
        <v>65</v>
      </c>
      <c r="B221">
        <f>(B218-B220)/($A$218-$A$220)*($A$221-$A$220)+B220</f>
        <v>3.6799999999999993</v>
      </c>
      <c r="C221">
        <f t="shared" ref="C221:D221" si="6">(C218-C220)/($A$218-$A$220)*($A$221-$A$220)+C220</f>
        <v>3.8900000000000006</v>
      </c>
      <c r="D221">
        <f t="shared" si="6"/>
        <v>4.3899999999999997</v>
      </c>
      <c r="F221">
        <f>(C221-B221)/($C$216-$B$216)*('Planungstool Heizlast'!$B$9-Leistungsdaten!$B$216)+Leistungsdaten!B221</f>
        <v>3.8375000000000004</v>
      </c>
      <c r="I221" s="1"/>
      <c r="J221" s="1"/>
      <c r="K221" s="1"/>
      <c r="L221" s="1"/>
    </row>
    <row r="222" spans="1:12" x14ac:dyDescent="0.25">
      <c r="I222" s="1"/>
      <c r="J222" s="1"/>
      <c r="K222" s="1"/>
      <c r="L222" s="1"/>
    </row>
    <row r="223" spans="1:12" x14ac:dyDescent="0.25">
      <c r="I223" s="1"/>
      <c r="J223" s="1"/>
      <c r="K223" s="1"/>
      <c r="L223" s="1"/>
    </row>
    <row r="224" spans="1:12" x14ac:dyDescent="0.25">
      <c r="I224" s="1"/>
      <c r="J224" s="1"/>
      <c r="K224" s="1"/>
      <c r="L224" s="1"/>
    </row>
    <row r="225" spans="1:12" x14ac:dyDescent="0.25">
      <c r="A225" t="s">
        <v>60</v>
      </c>
      <c r="B225" t="s">
        <v>56</v>
      </c>
      <c r="C225" t="s">
        <v>62</v>
      </c>
      <c r="D225" t="s">
        <v>63</v>
      </c>
      <c r="F225" t="s">
        <v>68</v>
      </c>
      <c r="I225" s="1"/>
      <c r="J225" s="1"/>
      <c r="K225" s="1"/>
      <c r="L225" s="1"/>
    </row>
    <row r="226" spans="1:12" x14ac:dyDescent="0.25">
      <c r="A226">
        <v>35</v>
      </c>
      <c r="B226">
        <v>5.0999999999999996</v>
      </c>
      <c r="C226">
        <v>5.68</v>
      </c>
      <c r="D226">
        <v>6.5</v>
      </c>
      <c r="F226">
        <f>(C226-B226)/($C$216-$B$216)*('Planungstool Heizlast'!$B$9-Leistungsdaten!$B$216)+Leistungsdaten!B226</f>
        <v>5.5350000000000001</v>
      </c>
      <c r="I226" s="1"/>
      <c r="J226" s="1"/>
      <c r="K226" s="1"/>
      <c r="L226" s="1"/>
    </row>
    <row r="227" spans="1:12" x14ac:dyDescent="0.25">
      <c r="A227">
        <v>45</v>
      </c>
      <c r="B227">
        <f>(B226-B228)/($A$226-$A$228)*($A$227-$A$228)+B228</f>
        <v>4.5949999999999998</v>
      </c>
      <c r="C227">
        <f t="shared" ref="C227:D227" si="7">(C226-C228)/($A$226-$A$228)*($A$227-$A$228)+C228</f>
        <v>5.085</v>
      </c>
      <c r="D227">
        <f t="shared" si="7"/>
        <v>5.7799999999999994</v>
      </c>
      <c r="F227">
        <f>(C227-B227)/($C$216-$B$216)*('Planungstool Heizlast'!$B$9-Leistungsdaten!$B$216)+Leistungsdaten!B227</f>
        <v>4.9625000000000004</v>
      </c>
      <c r="I227" s="1"/>
      <c r="J227" s="1"/>
      <c r="K227" s="1"/>
      <c r="L227" s="1"/>
    </row>
    <row r="228" spans="1:12" x14ac:dyDescent="0.25">
      <c r="A228">
        <v>55</v>
      </c>
      <c r="B228">
        <v>4.09</v>
      </c>
      <c r="C228">
        <v>4.49</v>
      </c>
      <c r="D228">
        <v>5.0599999999999996</v>
      </c>
      <c r="F228">
        <f>(C228-B228)/($C$216-$B$216)*('Planungstool Heizlast'!$B$9-Leistungsdaten!$B$216)+Leistungsdaten!B228</f>
        <v>4.3900000000000006</v>
      </c>
      <c r="I228" s="1"/>
      <c r="J228" s="1"/>
      <c r="K228" s="1"/>
      <c r="L228" s="1"/>
    </row>
    <row r="229" spans="1:12" x14ac:dyDescent="0.25">
      <c r="A229">
        <v>65</v>
      </c>
      <c r="B229">
        <f>(B226-B228)/($A$226-$A$228)*($A$229-$A$228)+B228</f>
        <v>3.585</v>
      </c>
      <c r="C229">
        <f t="shared" ref="C229:D229" si="8">(C226-C228)/($A$226-$A$228)*($A$229-$A$228)+C228</f>
        <v>3.8950000000000005</v>
      </c>
      <c r="D229">
        <f t="shared" si="8"/>
        <v>4.34</v>
      </c>
      <c r="F229">
        <f>(C229-B229)/($C$216-$B$216)*('Planungstool Heizlast'!$B$9-Leistungsdaten!$B$216)+Leistungsdaten!B229</f>
        <v>3.8175000000000003</v>
      </c>
      <c r="I229" s="1"/>
      <c r="J229" s="1"/>
      <c r="K229" s="1"/>
      <c r="L229" s="1"/>
    </row>
    <row r="230" spans="1:12" x14ac:dyDescent="0.25">
      <c r="I230" s="1"/>
      <c r="J230" s="1"/>
      <c r="K230" s="1"/>
      <c r="L230" s="1"/>
    </row>
    <row r="231" spans="1:12" x14ac:dyDescent="0.25">
      <c r="I231" s="1"/>
      <c r="J231" s="1"/>
      <c r="K231" s="1"/>
      <c r="L231" s="1"/>
    </row>
    <row r="232" spans="1:12" x14ac:dyDescent="0.25">
      <c r="A232" t="s">
        <v>69</v>
      </c>
      <c r="I232" s="1"/>
      <c r="J232" s="1"/>
      <c r="K232" s="1"/>
      <c r="L232" s="1"/>
    </row>
    <row r="233" spans="1:12" x14ac:dyDescent="0.25">
      <c r="A233" t="s">
        <v>61</v>
      </c>
      <c r="B233">
        <f>IF('Planungstool Heizlast'!$B$10="Fußbodenheizung 35°C",Leistungsdaten!F218,IF('Planungstool Heizlast'!$B$10="Niedertemperaturheizkörper 45°C",Leistungsdaten!F219,IF('Planungstool Heizlast'!$B$10="Heizkörper 55°C",Leistungsdaten!F220,IF('Planungstool Heizlast'!$B$10="Hochtemperaturheizkörper 65°C",Leistungsdaten!F221,))))</f>
        <v>4.9325000000000001</v>
      </c>
      <c r="I233" s="1"/>
      <c r="J233" s="1"/>
      <c r="K233" s="1"/>
      <c r="L233" s="1"/>
    </row>
    <row r="234" spans="1:12" x14ac:dyDescent="0.25">
      <c r="A234" t="s">
        <v>60</v>
      </c>
      <c r="B234">
        <f>IF('Planungstool Heizlast'!$B$10="Fußbodenheizung 35°C",Leistungsdaten!F226,IF('Planungstool Heizlast'!$B$10="Niedertemperaturheizkörper 45°C",Leistungsdaten!F227,IF('Planungstool Heizlast'!$B$10="Heizkörper 55°C",Leistungsdaten!F228,IF('Planungstool Heizlast'!$B$10="Hochtemperaturheizkörper 65°C",Leistungsdaten!F229,))))</f>
        <v>4.9625000000000004</v>
      </c>
      <c r="I234" s="1"/>
      <c r="J234" s="1"/>
      <c r="K234" s="1"/>
      <c r="L234" s="1"/>
    </row>
    <row r="235" spans="1:12" x14ac:dyDescent="0.25">
      <c r="A235" t="s">
        <v>72</v>
      </c>
      <c r="B235">
        <v>4.5</v>
      </c>
      <c r="C235" t="s">
        <v>73</v>
      </c>
      <c r="I235" s="1"/>
      <c r="J235" s="1"/>
      <c r="K235" s="1"/>
      <c r="L235" s="1"/>
    </row>
    <row r="236" spans="1:12" x14ac:dyDescent="0.25">
      <c r="I236" s="1"/>
      <c r="J236" s="1"/>
      <c r="K236" s="1"/>
      <c r="L236" s="1"/>
    </row>
    <row r="237" spans="1:12" x14ac:dyDescent="0.25">
      <c r="A237" t="s">
        <v>98</v>
      </c>
      <c r="B237">
        <v>1.1000000000000001</v>
      </c>
      <c r="I237" s="1"/>
      <c r="J237" s="1"/>
      <c r="K237" s="1"/>
      <c r="L237" s="1"/>
    </row>
    <row r="238" spans="1:12" x14ac:dyDescent="0.25">
      <c r="I238" s="1"/>
      <c r="J238" s="1"/>
      <c r="K238" s="1"/>
      <c r="L238" s="1"/>
    </row>
    <row r="239" spans="1:12" x14ac:dyDescent="0.25">
      <c r="I239" s="1"/>
      <c r="J239" s="1"/>
      <c r="K239" s="1"/>
      <c r="L239" s="1"/>
    </row>
    <row r="240" spans="1:12" x14ac:dyDescent="0.25">
      <c r="I240" s="1"/>
      <c r="J240" s="1"/>
      <c r="K240" s="1"/>
      <c r="L240" s="1"/>
    </row>
    <row r="241" spans="9:14" x14ac:dyDescent="0.25">
      <c r="I241" s="1"/>
      <c r="J241" s="1"/>
      <c r="K241" s="1"/>
      <c r="L241" s="1"/>
    </row>
    <row r="242" spans="9:14" x14ac:dyDescent="0.25">
      <c r="I242" s="1"/>
      <c r="J242" s="1"/>
      <c r="K242" s="1"/>
      <c r="L242" s="1"/>
    </row>
    <row r="243" spans="9:14" x14ac:dyDescent="0.25">
      <c r="I243" s="1"/>
      <c r="J243" s="1"/>
      <c r="K243" s="1"/>
      <c r="L243" s="1"/>
      <c r="N243">
        <v>11.3887014123115</v>
      </c>
    </row>
    <row r="244" spans="9:14" x14ac:dyDescent="0.25">
      <c r="I244" s="1"/>
      <c r="J244" s="1"/>
      <c r="K244" s="1"/>
      <c r="L244" s="1"/>
      <c r="N244">
        <v>11.4250492002079</v>
      </c>
    </row>
    <row r="245" spans="9:14" x14ac:dyDescent="0.25">
      <c r="I245" s="1"/>
      <c r="J245" s="1"/>
      <c r="K245" s="1"/>
      <c r="L245" s="1"/>
      <c r="N245">
        <v>11.4612900040133</v>
      </c>
    </row>
    <row r="246" spans="9:14" x14ac:dyDescent="0.25">
      <c r="I246" s="1"/>
      <c r="J246" s="1"/>
      <c r="K246" s="1"/>
      <c r="L246" s="1"/>
      <c r="N246">
        <v>11.449594549917</v>
      </c>
    </row>
    <row r="247" spans="9:14" x14ac:dyDescent="0.25">
      <c r="I247" s="1"/>
      <c r="J247" s="1"/>
      <c r="K247" s="1"/>
      <c r="L247" s="1"/>
      <c r="N247">
        <v>11.4854576683299</v>
      </c>
    </row>
    <row r="248" spans="9:14" x14ac:dyDescent="0.25">
      <c r="I248" s="1"/>
      <c r="J248" s="1"/>
      <c r="K248" s="1"/>
      <c r="L248" s="1"/>
      <c r="N248">
        <v>11.5212082113551</v>
      </c>
    </row>
    <row r="249" spans="9:14" x14ac:dyDescent="0.25">
      <c r="I249" s="1"/>
      <c r="J249" s="1"/>
      <c r="K249" s="1"/>
      <c r="L249" s="1"/>
      <c r="N249">
        <v>11.5085804375568</v>
      </c>
    </row>
    <row r="250" spans="9:14" x14ac:dyDescent="0.25">
      <c r="I250" s="1"/>
      <c r="J250" s="1"/>
      <c r="K250" s="1"/>
      <c r="L250" s="1"/>
    </row>
    <row r="251" spans="9:14" x14ac:dyDescent="0.25">
      <c r="I251" s="1"/>
      <c r="J251" s="1"/>
      <c r="K251" s="1"/>
      <c r="L251" s="1"/>
    </row>
    <row r="252" spans="9:14" x14ac:dyDescent="0.25">
      <c r="I252" s="1"/>
      <c r="J252" s="1"/>
      <c r="K252" s="1"/>
      <c r="L252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E3A6-78F1-44E7-963F-E63C37CCEAA6}">
  <dimension ref="A1:X63"/>
  <sheetViews>
    <sheetView topLeftCell="A16" zoomScale="64" zoomScaleNormal="55" workbookViewId="0">
      <selection activeCell="F55" sqref="F55"/>
    </sheetView>
  </sheetViews>
  <sheetFormatPr baseColWidth="10" defaultRowHeight="15" x14ac:dyDescent="0.25"/>
  <cols>
    <col min="1" max="1" width="10.42578125" bestFit="1" customWidth="1"/>
    <col min="6" max="6" width="13.140625" bestFit="1" customWidth="1"/>
    <col min="7" max="7" width="13.5703125" bestFit="1" customWidth="1"/>
    <col min="8" max="8" width="12.5703125" bestFit="1" customWidth="1"/>
    <col min="9" max="9" width="19.7109375" bestFit="1" customWidth="1"/>
    <col min="10" max="10" width="20.140625" bestFit="1" customWidth="1"/>
    <col min="11" max="11" width="17.7109375" bestFit="1" customWidth="1"/>
    <col min="22" max="22" width="18.28515625" bestFit="1" customWidth="1"/>
  </cols>
  <sheetData>
    <row r="1" spans="1:24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41</v>
      </c>
      <c r="M1" t="s">
        <v>42</v>
      </c>
      <c r="N1" t="s">
        <v>43</v>
      </c>
      <c r="O1" t="s">
        <v>38</v>
      </c>
      <c r="P1" t="s">
        <v>39</v>
      </c>
      <c r="Q1" t="s">
        <v>40</v>
      </c>
      <c r="R1" t="s">
        <v>48</v>
      </c>
      <c r="S1" t="s">
        <v>49</v>
      </c>
      <c r="T1" t="s">
        <v>50</v>
      </c>
      <c r="V1" t="s">
        <v>89</v>
      </c>
      <c r="W1" t="s">
        <v>90</v>
      </c>
      <c r="X1" t="s">
        <v>91</v>
      </c>
    </row>
    <row r="2" spans="1:24" x14ac:dyDescent="0.25">
      <c r="A2" s="1">
        <f>100*(B2-16)/(-22-16)</f>
        <v>100</v>
      </c>
      <c r="B2" s="24">
        <v>-22</v>
      </c>
      <c r="C2" s="24">
        <v>0</v>
      </c>
      <c r="D2" s="24">
        <v>0</v>
      </c>
      <c r="E2" s="24">
        <v>1</v>
      </c>
      <c r="F2" s="25">
        <f>$A2*C2/$C$40</f>
        <v>0</v>
      </c>
      <c r="G2" s="25">
        <f>$A2*D2/$D$40</f>
        <v>0</v>
      </c>
      <c r="H2" s="25">
        <f>$A2*E2/$E$40</f>
        <v>1.5513496742165685E-2</v>
      </c>
      <c r="I2" s="25">
        <f>F2/F40</f>
        <v>0</v>
      </c>
      <c r="J2" s="25">
        <f>G2/G40</f>
        <v>0</v>
      </c>
      <c r="K2" s="25">
        <f>H2/H40</f>
        <v>4.0571849542499016E-4</v>
      </c>
      <c r="L2" s="25">
        <f>C2/C40</f>
        <v>0</v>
      </c>
      <c r="M2" s="25">
        <f t="shared" ref="M2:N2" si="0">D2/D40</f>
        <v>0</v>
      </c>
      <c r="N2" s="25">
        <f t="shared" si="0"/>
        <v>1.5513496742165683E-4</v>
      </c>
      <c r="O2">
        <f>F2/$F$40*$C$48</f>
        <v>0</v>
      </c>
      <c r="P2">
        <f>G2/$G$40*$C$48</f>
        <v>0</v>
      </c>
      <c r="Q2">
        <f>H2/$H$40*$C$48</f>
        <v>5.8562389468402012</v>
      </c>
      <c r="R2">
        <v>0</v>
      </c>
      <c r="S2">
        <v>0</v>
      </c>
      <c r="T2">
        <f>Q2/E2</f>
        <v>5.8562389468402012</v>
      </c>
      <c r="V2">
        <f>'Planungstool Heizlast'!$B$22*'Temperaturstunden profile'!C2*A2/$A$26</f>
        <v>0</v>
      </c>
      <c r="W2">
        <f>'Planungstool Heizlast'!$B$22*'Temperaturstunden profile'!D2*A2/$A$14</f>
        <v>0</v>
      </c>
      <c r="X2">
        <f>'Planungstool Heizlast'!$B$22*'Temperaturstunden profile'!E2*A2/$A$2</f>
        <v>9.4666650248517392</v>
      </c>
    </row>
    <row r="3" spans="1:24" x14ac:dyDescent="0.25">
      <c r="A3" s="1">
        <f t="shared" ref="A3:A39" si="1">100*(B3-16)/(-22-16)</f>
        <v>97.368421052631575</v>
      </c>
      <c r="B3" s="24">
        <v>-21</v>
      </c>
      <c r="C3" s="24">
        <v>0</v>
      </c>
      <c r="D3" s="24">
        <v>0</v>
      </c>
      <c r="E3" s="24">
        <v>6</v>
      </c>
      <c r="F3" s="25">
        <f>$A3*C3/$C$40</f>
        <v>0</v>
      </c>
      <c r="G3" s="25">
        <f>$A3*D3/$D$40</f>
        <v>0</v>
      </c>
      <c r="H3" s="25">
        <f t="shared" ref="H3:H39" si="2">$A3*E3/$E$40</f>
        <v>9.0631480967389003E-2</v>
      </c>
      <c r="I3" s="25">
        <f>(I2+F3/F$40)</f>
        <v>0</v>
      </c>
      <c r="J3" s="25">
        <f>(J2+G3/G$40)</f>
        <v>0</v>
      </c>
      <c r="K3" s="25">
        <f>(K2+H3/H$40)</f>
        <v>2.7759686529078278E-3</v>
      </c>
      <c r="L3" s="25">
        <f>(L2+C3/C$40)</f>
        <v>0</v>
      </c>
      <c r="M3" s="25">
        <f t="shared" ref="M3:N18" si="3">(M2+D3/D$40)</f>
        <v>0</v>
      </c>
      <c r="N3" s="25">
        <f t="shared" si="3"/>
        <v>1.0859447719515978E-3</v>
      </c>
      <c r="O3">
        <f t="shared" ref="O3:O39" si="4">F3/$F$40*$C$48</f>
        <v>0</v>
      </c>
      <c r="P3">
        <f t="shared" ref="P3:P39" si="5">G3/$G$40*$C$48</f>
        <v>0</v>
      </c>
      <c r="Q3">
        <f t="shared" ref="Q3:Q39" si="6">H3/$H$40*$C$48</f>
        <v>34.212764373645385</v>
      </c>
      <c r="R3">
        <v>0</v>
      </c>
      <c r="S3">
        <v>0</v>
      </c>
      <c r="T3">
        <f t="shared" ref="T3:T39" si="7">Q3/E3</f>
        <v>5.7021273956075644</v>
      </c>
      <c r="V3">
        <f>'Planungstool Heizlast'!$B$22*'Temperaturstunden profile'!C3*A3/$A$26</f>
        <v>0</v>
      </c>
      <c r="W3">
        <f>'Planungstool Heizlast'!$B$22*'Temperaturstunden profile'!D3*A3/$A$14</f>
        <v>0</v>
      </c>
      <c r="X3">
        <f>'Planungstool Heizlast'!$B$22*'Temperaturstunden profile'!E3*A3/$A$2</f>
        <v>55.305253566239109</v>
      </c>
    </row>
    <row r="4" spans="1:24" x14ac:dyDescent="0.25">
      <c r="A4" s="1">
        <f t="shared" si="1"/>
        <v>94.736842105263165</v>
      </c>
      <c r="B4" s="24">
        <v>-20</v>
      </c>
      <c r="C4" s="24">
        <v>0</v>
      </c>
      <c r="D4" s="24">
        <v>0</v>
      </c>
      <c r="E4" s="24">
        <v>13</v>
      </c>
      <c r="F4" s="25">
        <f>$A4*C4/$C$40</f>
        <v>0</v>
      </c>
      <c r="G4" s="25">
        <f t="shared" ref="G4:G39" si="8">$A4*D4/$D$40</f>
        <v>0</v>
      </c>
      <c r="H4" s="25">
        <f>$A4*E4/$E$40</f>
        <v>0.19106095987719843</v>
      </c>
      <c r="I4" s="25">
        <f t="shared" ref="I4:K19" si="9">(I3+F4/F$40)</f>
        <v>0</v>
      </c>
      <c r="J4" s="25">
        <f t="shared" si="9"/>
        <v>0</v>
      </c>
      <c r="K4" s="25">
        <f t="shared" si="9"/>
        <v>7.772712228141917E-3</v>
      </c>
      <c r="L4" s="25">
        <f>(L3+C4/C$40)</f>
        <v>0</v>
      </c>
      <c r="M4" s="25">
        <f t="shared" si="3"/>
        <v>0</v>
      </c>
      <c r="N4" s="25">
        <f t="shared" si="3"/>
        <v>3.1026993484331369E-3</v>
      </c>
      <c r="O4">
        <f t="shared" si="4"/>
        <v>0</v>
      </c>
      <c r="P4">
        <f t="shared" si="5"/>
        <v>0</v>
      </c>
      <c r="Q4">
        <f t="shared" si="6"/>
        <v>72.124205976874052</v>
      </c>
      <c r="R4">
        <v>0</v>
      </c>
      <c r="S4">
        <v>0</v>
      </c>
      <c r="T4">
        <f t="shared" si="7"/>
        <v>5.5480158443749268</v>
      </c>
      <c r="V4">
        <f>'Planungstool Heizlast'!$B$22*'Temperaturstunden profile'!C4*A4/$A$26</f>
        <v>0</v>
      </c>
      <c r="W4">
        <f>'Planungstool Heizlast'!$B$22*'Temperaturstunden profile'!D4*A4/$A$14</f>
        <v>0</v>
      </c>
      <c r="X4">
        <f>'Planungstool Heizlast'!$B$22*'Temperaturstunden profile'!E4*A4/$A$2</f>
        <v>116.58945346396352</v>
      </c>
    </row>
    <row r="5" spans="1:24" x14ac:dyDescent="0.25">
      <c r="A5" s="1">
        <f t="shared" si="1"/>
        <v>92.10526315789474</v>
      </c>
      <c r="B5" s="24">
        <v>-19</v>
      </c>
      <c r="C5" s="24">
        <v>0</v>
      </c>
      <c r="D5" s="24">
        <v>0</v>
      </c>
      <c r="E5" s="24">
        <v>17</v>
      </c>
      <c r="F5" s="25">
        <f t="shared" ref="F5:F39" si="10">$A5*C5/$C$40</f>
        <v>0</v>
      </c>
      <c r="G5" s="25">
        <f t="shared" si="8"/>
        <v>0</v>
      </c>
      <c r="H5" s="25">
        <f t="shared" si="2"/>
        <v>0.24290869898917322</v>
      </c>
      <c r="I5" s="25">
        <f t="shared" si="9"/>
        <v>0</v>
      </c>
      <c r="J5" s="25">
        <f t="shared" si="9"/>
        <v>0</v>
      </c>
      <c r="K5" s="25">
        <f t="shared" si="9"/>
        <v>1.4125409722296367E-2</v>
      </c>
      <c r="L5" s="25">
        <f t="shared" ref="L5:N19" si="11">(L4+C5/C$40)</f>
        <v>0</v>
      </c>
      <c r="M5" s="25">
        <f t="shared" si="3"/>
        <v>0</v>
      </c>
      <c r="N5" s="25">
        <f t="shared" si="3"/>
        <v>5.7399937946013037E-3</v>
      </c>
      <c r="O5">
        <f>F5/$F$40*$C$48</f>
        <v>0</v>
      </c>
      <c r="P5">
        <f t="shared" si="5"/>
        <v>0</v>
      </c>
      <c r="Q5">
        <f t="shared" si="6"/>
        <v>91.696372983418925</v>
      </c>
      <c r="R5">
        <v>0</v>
      </c>
      <c r="S5">
        <v>0</v>
      </c>
      <c r="T5">
        <f t="shared" si="7"/>
        <v>5.39390429314229</v>
      </c>
      <c r="V5">
        <f>'Planungstool Heizlast'!$B$22*'Temperaturstunden profile'!C5*A5/$A$26</f>
        <v>0</v>
      </c>
      <c r="W5">
        <f>'Planungstool Heizlast'!$B$22*'Temperaturstunden profile'!D5*A5/$A$14</f>
        <v>0</v>
      </c>
      <c r="X5">
        <f>'Planungstool Heizlast'!$B$22*'Temperaturstunden profile'!E5*A5/$A$2</f>
        <v>148.22804446807331</v>
      </c>
    </row>
    <row r="6" spans="1:24" x14ac:dyDescent="0.25">
      <c r="A6" s="1">
        <f t="shared" si="1"/>
        <v>89.473684210526315</v>
      </c>
      <c r="B6" s="24">
        <v>-18</v>
      </c>
      <c r="C6" s="24">
        <v>0</v>
      </c>
      <c r="D6" s="24">
        <v>0</v>
      </c>
      <c r="E6" s="24">
        <v>19</v>
      </c>
      <c r="F6" s="25">
        <f t="shared" si="10"/>
        <v>0</v>
      </c>
      <c r="G6" s="25">
        <f t="shared" si="8"/>
        <v>0</v>
      </c>
      <c r="H6" s="25">
        <f t="shared" si="2"/>
        <v>0.26372944461681663</v>
      </c>
      <c r="I6" s="25">
        <f t="shared" si="9"/>
        <v>0</v>
      </c>
      <c r="J6" s="25">
        <f t="shared" si="9"/>
        <v>0</v>
      </c>
      <c r="K6" s="25">
        <f t="shared" si="9"/>
        <v>2.1022624144521201E-2</v>
      </c>
      <c r="L6" s="25">
        <f t="shared" si="11"/>
        <v>0</v>
      </c>
      <c r="M6" s="25">
        <f t="shared" si="3"/>
        <v>0</v>
      </c>
      <c r="N6" s="25">
        <f t="shared" si="3"/>
        <v>8.6875581756127827E-3</v>
      </c>
      <c r="O6">
        <f t="shared" si="4"/>
        <v>0</v>
      </c>
      <c r="P6">
        <f t="shared" si="5"/>
        <v>0</v>
      </c>
      <c r="Q6">
        <f t="shared" si="6"/>
        <v>99.556062096283412</v>
      </c>
      <c r="R6">
        <v>0</v>
      </c>
      <c r="S6">
        <v>0</v>
      </c>
      <c r="T6">
        <f t="shared" si="7"/>
        <v>5.2397927419096533</v>
      </c>
      <c r="V6">
        <f>'Planungstool Heizlast'!$B$22*'Temperaturstunden profile'!C6*A6/$A$26</f>
        <v>0</v>
      </c>
      <c r="W6">
        <f>'Planungstool Heizlast'!$B$22*'Temperaturstunden profile'!D6*A6/$A$14</f>
        <v>0</v>
      </c>
      <c r="X6">
        <f>'Planungstool Heizlast'!$B$22*'Temperaturstunden profile'!E6*A6/$A$2</f>
        <v>160.93330542247958</v>
      </c>
    </row>
    <row r="7" spans="1:24" x14ac:dyDescent="0.25">
      <c r="A7" s="1">
        <f t="shared" si="1"/>
        <v>86.84210526315789</v>
      </c>
      <c r="B7" s="24">
        <v>-17</v>
      </c>
      <c r="C7" s="24">
        <v>0</v>
      </c>
      <c r="D7" s="24">
        <v>0</v>
      </c>
      <c r="E7" s="24">
        <v>26</v>
      </c>
      <c r="F7" s="25">
        <f t="shared" si="10"/>
        <v>0</v>
      </c>
      <c r="G7" s="25">
        <f t="shared" si="8"/>
        <v>0</v>
      </c>
      <c r="H7" s="25">
        <f t="shared" si="2"/>
        <v>0.3502784264415304</v>
      </c>
      <c r="I7" s="25">
        <f t="shared" si="9"/>
        <v>0</v>
      </c>
      <c r="J7" s="25">
        <f t="shared" si="9"/>
        <v>0</v>
      </c>
      <c r="K7" s="25">
        <f t="shared" si="9"/>
        <v>3.0183320699117028E-2</v>
      </c>
      <c r="L7" s="25">
        <f t="shared" si="11"/>
        <v>0</v>
      </c>
      <c r="M7" s="25">
        <f t="shared" si="3"/>
        <v>0</v>
      </c>
      <c r="N7" s="25">
        <f t="shared" si="3"/>
        <v>1.272106732857586E-2</v>
      </c>
      <c r="O7">
        <f t="shared" si="4"/>
        <v>0</v>
      </c>
      <c r="P7">
        <f t="shared" si="5"/>
        <v>0</v>
      </c>
      <c r="Q7">
        <f t="shared" si="6"/>
        <v>132.2277109576024</v>
      </c>
      <c r="R7">
        <v>0</v>
      </c>
      <c r="S7">
        <v>0</v>
      </c>
      <c r="T7">
        <f t="shared" si="7"/>
        <v>5.0856811906770156</v>
      </c>
      <c r="V7">
        <f>'Planungstool Heizlast'!$B$22*'Temperaturstunden profile'!C7*A7/$A$26</f>
        <v>0</v>
      </c>
      <c r="W7">
        <f>'Planungstool Heizlast'!$B$22*'Temperaturstunden profile'!D7*A7/$A$14</f>
        <v>0</v>
      </c>
      <c r="X7">
        <f>'Planungstool Heizlast'!$B$22*'Temperaturstunden profile'!E7*A7/$A$2</f>
        <v>213.74733135059978</v>
      </c>
    </row>
    <row r="8" spans="1:24" x14ac:dyDescent="0.25">
      <c r="A8" s="1">
        <f t="shared" si="1"/>
        <v>84.21052631578948</v>
      </c>
      <c r="B8" s="24">
        <v>-16</v>
      </c>
      <c r="C8" s="24">
        <v>0</v>
      </c>
      <c r="D8" s="24">
        <v>0</v>
      </c>
      <c r="E8" s="24">
        <v>39</v>
      </c>
      <c r="F8" s="25">
        <f t="shared" si="10"/>
        <v>0</v>
      </c>
      <c r="G8" s="25">
        <f t="shared" si="8"/>
        <v>0</v>
      </c>
      <c r="H8" s="25">
        <f t="shared" si="2"/>
        <v>0.50949589300586251</v>
      </c>
      <c r="I8" s="25">
        <f t="shared" si="9"/>
        <v>0</v>
      </c>
      <c r="J8" s="25">
        <f t="shared" si="9"/>
        <v>0</v>
      </c>
      <c r="K8" s="25">
        <f t="shared" si="9"/>
        <v>4.3507970233074601E-2</v>
      </c>
      <c r="L8" s="25">
        <f t="shared" si="11"/>
        <v>0</v>
      </c>
      <c r="M8" s="25">
        <f t="shared" si="3"/>
        <v>0</v>
      </c>
      <c r="N8" s="25">
        <f t="shared" si="3"/>
        <v>1.8771331058020476E-2</v>
      </c>
      <c r="O8">
        <f t="shared" si="4"/>
        <v>0</v>
      </c>
      <c r="P8">
        <f t="shared" si="5"/>
        <v>0</v>
      </c>
      <c r="Q8">
        <f t="shared" si="6"/>
        <v>192.33121593833081</v>
      </c>
      <c r="R8">
        <v>0</v>
      </c>
      <c r="S8">
        <v>0</v>
      </c>
      <c r="T8">
        <f t="shared" si="7"/>
        <v>4.9315696394443798</v>
      </c>
      <c r="V8">
        <f>'Planungstool Heizlast'!$B$22*'Temperaturstunden profile'!C8*A8/$A$26</f>
        <v>0</v>
      </c>
      <c r="W8">
        <f>'Planungstool Heizlast'!$B$22*'Temperaturstunden profile'!D8*A8/$A$14</f>
        <v>0</v>
      </c>
      <c r="X8">
        <f>'Planungstool Heizlast'!$B$22*'Temperaturstunden profile'!E8*A8/$A$2</f>
        <v>310.90520923723614</v>
      </c>
    </row>
    <row r="9" spans="1:24" x14ac:dyDescent="0.25">
      <c r="A9" s="1">
        <f t="shared" si="1"/>
        <v>81.578947368421055</v>
      </c>
      <c r="B9" s="24">
        <v>-15</v>
      </c>
      <c r="C9" s="24">
        <v>0</v>
      </c>
      <c r="D9" s="24">
        <v>0</v>
      </c>
      <c r="E9" s="24">
        <v>41</v>
      </c>
      <c r="F9" s="25">
        <f t="shared" si="10"/>
        <v>0</v>
      </c>
      <c r="G9" s="25">
        <f t="shared" si="8"/>
        <v>0</v>
      </c>
      <c r="H9" s="25">
        <f t="shared" si="2"/>
        <v>0.51888564103401547</v>
      </c>
      <c r="I9" s="25">
        <f t="shared" si="9"/>
        <v>0</v>
      </c>
      <c r="J9" s="25">
        <f t="shared" si="9"/>
        <v>0</v>
      </c>
      <c r="K9" s="25">
        <f t="shared" si="9"/>
        <v>5.7078186224789405E-2</v>
      </c>
      <c r="L9" s="25">
        <f t="shared" si="11"/>
        <v>0</v>
      </c>
      <c r="M9" s="25">
        <f t="shared" si="3"/>
        <v>0</v>
      </c>
      <c r="N9" s="25">
        <f t="shared" si="3"/>
        <v>2.5131864722308408E-2</v>
      </c>
      <c r="O9">
        <f t="shared" si="4"/>
        <v>0</v>
      </c>
      <c r="P9">
        <f t="shared" si="5"/>
        <v>0</v>
      </c>
      <c r="Q9">
        <f t="shared" si="6"/>
        <v>195.87578161668148</v>
      </c>
      <c r="R9">
        <v>0</v>
      </c>
      <c r="S9">
        <v>0</v>
      </c>
      <c r="T9">
        <f t="shared" si="7"/>
        <v>4.777458088211743</v>
      </c>
      <c r="V9">
        <f>'Planungstool Heizlast'!$B$22*'Temperaturstunden profile'!C9*A9/$A$26</f>
        <v>0</v>
      </c>
      <c r="W9">
        <f>'Planungstool Heizlast'!$B$22*'Temperaturstunden profile'!D9*A9/$A$14</f>
        <v>0</v>
      </c>
      <c r="X9">
        <f>'Planungstool Heizlast'!$B$22*'Temperaturstunden profile'!E9*A9/$A$2</f>
        <v>316.63503280490949</v>
      </c>
    </row>
    <row r="10" spans="1:24" x14ac:dyDescent="0.25">
      <c r="A10" s="1">
        <f t="shared" si="1"/>
        <v>78.94736842105263</v>
      </c>
      <c r="B10" s="24">
        <v>-14</v>
      </c>
      <c r="C10" s="24">
        <v>0</v>
      </c>
      <c r="D10" s="24">
        <v>0</v>
      </c>
      <c r="E10" s="24">
        <v>35</v>
      </c>
      <c r="F10" s="25">
        <f t="shared" si="10"/>
        <v>0</v>
      </c>
      <c r="G10" s="25">
        <f t="shared" si="8"/>
        <v>0</v>
      </c>
      <c r="H10" s="25">
        <f t="shared" si="2"/>
        <v>0.42866240998089389</v>
      </c>
      <c r="I10" s="25">
        <f t="shared" si="9"/>
        <v>0</v>
      </c>
      <c r="J10" s="25">
        <f t="shared" si="9"/>
        <v>0</v>
      </c>
      <c r="K10" s="25">
        <f t="shared" si="9"/>
        <v>6.8288828861532549E-2</v>
      </c>
      <c r="L10" s="25">
        <f t="shared" si="11"/>
        <v>0</v>
      </c>
      <c r="M10" s="25">
        <f t="shared" si="3"/>
        <v>0</v>
      </c>
      <c r="N10" s="25">
        <f t="shared" si="3"/>
        <v>3.0561588582066396E-2</v>
      </c>
      <c r="O10">
        <f t="shared" si="4"/>
        <v>0</v>
      </c>
      <c r="P10">
        <f t="shared" si="5"/>
        <v>0</v>
      </c>
      <c r="Q10">
        <f t="shared" si="6"/>
        <v>161.81712879426868</v>
      </c>
      <c r="R10">
        <v>0</v>
      </c>
      <c r="S10">
        <v>0</v>
      </c>
      <c r="T10">
        <f t="shared" si="7"/>
        <v>4.6233465369791054</v>
      </c>
      <c r="V10">
        <f>'Planungstool Heizlast'!$B$22*'Temperaturstunden profile'!C10*A10/$A$26</f>
        <v>0</v>
      </c>
      <c r="W10">
        <f>'Planungstool Heizlast'!$B$22*'Temperaturstunden profile'!D10*A10/$A$14</f>
        <v>0</v>
      </c>
      <c r="X10">
        <f>'Planungstool Heizlast'!$B$22*'Temperaturstunden profile'!E10*A10/$A$2</f>
        <v>261.57890200248227</v>
      </c>
    </row>
    <row r="11" spans="1:24" x14ac:dyDescent="0.25">
      <c r="A11" s="1">
        <f t="shared" si="1"/>
        <v>76.315789473684205</v>
      </c>
      <c r="B11" s="24">
        <v>-13</v>
      </c>
      <c r="C11" s="24">
        <v>0</v>
      </c>
      <c r="D11" s="24">
        <v>0</v>
      </c>
      <c r="E11" s="24">
        <v>52</v>
      </c>
      <c r="F11" s="25">
        <f t="shared" si="10"/>
        <v>0</v>
      </c>
      <c r="G11" s="25">
        <f t="shared" si="8"/>
        <v>0</v>
      </c>
      <c r="H11" s="25">
        <f t="shared" si="2"/>
        <v>0.61564087071541707</v>
      </c>
      <c r="I11" s="25">
        <f t="shared" si="9"/>
        <v>0</v>
      </c>
      <c r="J11" s="25">
        <f t="shared" si="9"/>
        <v>0</v>
      </c>
      <c r="K11" s="25">
        <f t="shared" si="9"/>
        <v>8.4389447048397945E-2</v>
      </c>
      <c r="L11" s="25">
        <f t="shared" si="11"/>
        <v>0</v>
      </c>
      <c r="M11" s="25">
        <f t="shared" si="3"/>
        <v>0</v>
      </c>
      <c r="N11" s="25">
        <f t="shared" si="3"/>
        <v>3.862860688799255E-2</v>
      </c>
      <c r="O11">
        <f t="shared" si="4"/>
        <v>0</v>
      </c>
      <c r="P11">
        <f t="shared" si="5"/>
        <v>0</v>
      </c>
      <c r="Q11">
        <f t="shared" si="6"/>
        <v>232.40021925881635</v>
      </c>
      <c r="R11">
        <v>0</v>
      </c>
      <c r="S11">
        <v>0</v>
      </c>
      <c r="T11">
        <f t="shared" si="7"/>
        <v>4.4692349857464686</v>
      </c>
      <c r="V11">
        <f>'Planungstool Heizlast'!$B$22*'Temperaturstunden profile'!C11*A11/$A$26</f>
        <v>0</v>
      </c>
      <c r="W11">
        <f>'Planungstool Heizlast'!$B$22*'Temperaturstunden profile'!D11*A11/$A$14</f>
        <v>0</v>
      </c>
      <c r="X11">
        <f>'Planungstool Heizlast'!$B$22*'Temperaturstunden profile'!E11*A11/$A$2</f>
        <v>375.67712782832683</v>
      </c>
    </row>
    <row r="12" spans="1:24" x14ac:dyDescent="0.25">
      <c r="A12" s="1">
        <f t="shared" si="1"/>
        <v>73.684210526315795</v>
      </c>
      <c r="B12" s="24">
        <v>-12</v>
      </c>
      <c r="C12" s="24">
        <v>0</v>
      </c>
      <c r="D12" s="24">
        <v>0</v>
      </c>
      <c r="E12" s="24">
        <v>37</v>
      </c>
      <c r="F12" s="25">
        <f t="shared" si="10"/>
        <v>0</v>
      </c>
      <c r="G12" s="25">
        <f t="shared" si="8"/>
        <v>0</v>
      </c>
      <c r="H12" s="25">
        <f t="shared" si="2"/>
        <v>0.42294691118114869</v>
      </c>
      <c r="I12" s="25">
        <f t="shared" si="9"/>
        <v>0</v>
      </c>
      <c r="J12" s="25">
        <f t="shared" si="9"/>
        <v>0</v>
      </c>
      <c r="K12" s="25">
        <f t="shared" si="9"/>
        <v>9.5450614449984525E-2</v>
      </c>
      <c r="L12" s="25">
        <f t="shared" si="11"/>
        <v>0</v>
      </c>
      <c r="M12" s="25">
        <f t="shared" si="3"/>
        <v>0</v>
      </c>
      <c r="N12" s="25">
        <f t="shared" si="3"/>
        <v>4.4368600682593851E-2</v>
      </c>
      <c r="O12">
        <f t="shared" si="4"/>
        <v>0</v>
      </c>
      <c r="P12">
        <f t="shared" si="5"/>
        <v>0</v>
      </c>
      <c r="Q12">
        <f t="shared" si="6"/>
        <v>159.65956707701181</v>
      </c>
      <c r="R12">
        <v>0</v>
      </c>
      <c r="S12">
        <v>0</v>
      </c>
      <c r="T12">
        <f t="shared" si="7"/>
        <v>4.3151234345138327</v>
      </c>
      <c r="V12">
        <f>'Planungstool Heizlast'!$B$22*'Temperaturstunden profile'!C12*A12/$A$26</f>
        <v>0</v>
      </c>
      <c r="W12">
        <f>'Planungstool Heizlast'!$B$22*'Temperaturstunden profile'!D12*A12/$A$14</f>
        <v>0</v>
      </c>
      <c r="X12">
        <f>'Planungstool Heizlast'!$B$22*'Temperaturstunden profile'!E12*A12/$A$2</f>
        <v>258.09118330911582</v>
      </c>
    </row>
    <row r="13" spans="1:24" x14ac:dyDescent="0.25">
      <c r="A13" s="1">
        <f t="shared" si="1"/>
        <v>71.05263157894737</v>
      </c>
      <c r="B13" s="24">
        <v>-11</v>
      </c>
      <c r="C13" s="24">
        <v>0</v>
      </c>
      <c r="D13" s="24">
        <v>0</v>
      </c>
      <c r="E13" s="24">
        <v>41</v>
      </c>
      <c r="F13" s="25">
        <f t="shared" si="10"/>
        <v>0</v>
      </c>
      <c r="G13" s="25">
        <f t="shared" si="8"/>
        <v>0</v>
      </c>
      <c r="H13" s="25">
        <f t="shared" si="2"/>
        <v>0.45193265509414243</v>
      </c>
      <c r="I13" s="25">
        <f t="shared" si="9"/>
        <v>0</v>
      </c>
      <c r="J13" s="25">
        <f t="shared" si="9"/>
        <v>0</v>
      </c>
      <c r="K13" s="25">
        <f t="shared" si="9"/>
        <v>0.10726983482986516</v>
      </c>
      <c r="L13" s="25">
        <f t="shared" si="11"/>
        <v>0</v>
      </c>
      <c r="M13" s="25">
        <f t="shared" si="3"/>
        <v>0</v>
      </c>
      <c r="N13" s="25">
        <f t="shared" si="3"/>
        <v>5.0729134346881782E-2</v>
      </c>
      <c r="O13">
        <f t="shared" si="4"/>
        <v>0</v>
      </c>
      <c r="P13">
        <f t="shared" si="5"/>
        <v>0</v>
      </c>
      <c r="Q13">
        <f t="shared" si="6"/>
        <v>170.60148721452902</v>
      </c>
      <c r="R13">
        <v>0</v>
      </c>
      <c r="S13">
        <v>0</v>
      </c>
      <c r="T13">
        <f t="shared" si="7"/>
        <v>4.1610118832811951</v>
      </c>
      <c r="V13">
        <f>'Planungstool Heizlast'!$B$22*'Temperaturstunden profile'!C13*A13/$A$26</f>
        <v>0</v>
      </c>
      <c r="W13">
        <f>'Planungstool Heizlast'!$B$22*'Temperaturstunden profile'!D13*A13/$A$14</f>
        <v>0</v>
      </c>
      <c r="X13">
        <f>'Planungstool Heizlast'!$B$22*'Temperaturstunden profile'!E13*A13/$A$2</f>
        <v>275.77889953975989</v>
      </c>
    </row>
    <row r="14" spans="1:24" x14ac:dyDescent="0.25">
      <c r="A14" s="1">
        <f t="shared" si="1"/>
        <v>68.421052631578945</v>
      </c>
      <c r="B14" s="24">
        <v>-10</v>
      </c>
      <c r="C14" s="24">
        <v>0</v>
      </c>
      <c r="D14" s="24">
        <v>1</v>
      </c>
      <c r="E14" s="24">
        <v>43</v>
      </c>
      <c r="F14" s="25">
        <f t="shared" si="10"/>
        <v>0</v>
      </c>
      <c r="G14" s="25">
        <f t="shared" si="8"/>
        <v>1.3935041269160682E-2</v>
      </c>
      <c r="H14" s="25">
        <f t="shared" si="2"/>
        <v>0.45642340415108512</v>
      </c>
      <c r="I14" s="25">
        <f t="shared" si="9"/>
        <v>0</v>
      </c>
      <c r="J14" s="25">
        <f t="shared" si="9"/>
        <v>4.8411723084943955E-4</v>
      </c>
      <c r="K14" s="25">
        <f t="shared" si="9"/>
        <v>0.11920650003736881</v>
      </c>
      <c r="L14" s="25">
        <f t="shared" si="11"/>
        <v>0</v>
      </c>
      <c r="M14" s="25">
        <f t="shared" si="3"/>
        <v>2.0366598778004074E-4</v>
      </c>
      <c r="N14" s="25">
        <f t="shared" si="3"/>
        <v>5.739993794601303E-2</v>
      </c>
      <c r="O14">
        <f t="shared" si="4"/>
        <v>0</v>
      </c>
      <c r="P14">
        <f t="shared" si="5"/>
        <v>6.987865266450676</v>
      </c>
      <c r="Q14">
        <f t="shared" si="6"/>
        <v>172.29671427808802</v>
      </c>
      <c r="R14">
        <v>0</v>
      </c>
      <c r="S14">
        <f>P14/D14</f>
        <v>6.987865266450676</v>
      </c>
      <c r="T14">
        <f t="shared" si="7"/>
        <v>4.0069003320485583</v>
      </c>
      <c r="V14">
        <f>'Planungstool Heizlast'!$B$22*'Temperaturstunden profile'!C14*A14/$A$26</f>
        <v>0</v>
      </c>
      <c r="W14">
        <f>'Planungstool Heizlast'!$B$22*'Temperaturstunden profile'!D14*A14/$A$14</f>
        <v>9.4666650248517392</v>
      </c>
      <c r="X14">
        <f>'Planungstool Heizlast'!$B$22*'Temperaturstunden profile'!E14*A14/$A$2</f>
        <v>278.51924994169065</v>
      </c>
    </row>
    <row r="15" spans="1:24" x14ac:dyDescent="0.25">
      <c r="A15" s="1">
        <f t="shared" si="1"/>
        <v>65.78947368421052</v>
      </c>
      <c r="B15" s="24">
        <v>-9</v>
      </c>
      <c r="C15" s="24">
        <v>0</v>
      </c>
      <c r="D15" s="24">
        <v>25</v>
      </c>
      <c r="E15" s="24">
        <v>54</v>
      </c>
      <c r="F15" s="25">
        <f t="shared" si="10"/>
        <v>0</v>
      </c>
      <c r="G15" s="25">
        <f t="shared" si="8"/>
        <v>0.33497695358559326</v>
      </c>
      <c r="H15" s="25">
        <f t="shared" si="2"/>
        <v>0.55113738426114933</v>
      </c>
      <c r="I15" s="25">
        <f t="shared" si="9"/>
        <v>0</v>
      </c>
      <c r="J15" s="25">
        <f t="shared" si="9"/>
        <v>1.2121550664730196E-2</v>
      </c>
      <c r="K15" s="25">
        <f t="shared" si="9"/>
        <v>0.13362018342746715</v>
      </c>
      <c r="L15" s="25">
        <f t="shared" si="11"/>
        <v>0</v>
      </c>
      <c r="M15" s="25">
        <f t="shared" si="3"/>
        <v>5.295315682281059E-3</v>
      </c>
      <c r="N15" s="25">
        <f t="shared" si="3"/>
        <v>6.57772261867825E-2</v>
      </c>
      <c r="O15">
        <f t="shared" si="4"/>
        <v>0</v>
      </c>
      <c r="P15">
        <f t="shared" si="5"/>
        <v>167.97753044352584</v>
      </c>
      <c r="Q15">
        <f t="shared" si="6"/>
        <v>208.05059416405979</v>
      </c>
      <c r="R15">
        <v>0</v>
      </c>
      <c r="S15">
        <f t="shared" ref="S15:S39" si="12">P15/D15</f>
        <v>6.7191012177410334</v>
      </c>
      <c r="T15">
        <f t="shared" si="7"/>
        <v>3.852788780815922</v>
      </c>
      <c r="V15">
        <f>'Planungstool Heizlast'!$B$22*'Temperaturstunden profile'!C15*A15/$A$26</f>
        <v>0</v>
      </c>
      <c r="W15">
        <f>'Planungstool Heizlast'!$B$22*'Temperaturstunden profile'!D15*A15/$A$14</f>
        <v>227.56406309739756</v>
      </c>
      <c r="X15">
        <f>'Planungstool Heizlast'!$B$22*'Temperaturstunden profile'!E15*A15/$A$2</f>
        <v>336.31573114604862</v>
      </c>
    </row>
    <row r="16" spans="1:24" x14ac:dyDescent="0.25">
      <c r="A16" s="1">
        <f t="shared" si="1"/>
        <v>63.157894736842103</v>
      </c>
      <c r="B16" s="24">
        <v>-8</v>
      </c>
      <c r="C16" s="24">
        <v>0</v>
      </c>
      <c r="D16" s="24">
        <v>23</v>
      </c>
      <c r="E16" s="24">
        <v>90</v>
      </c>
      <c r="F16" s="25">
        <f t="shared" si="10"/>
        <v>0</v>
      </c>
      <c r="G16" s="25">
        <f t="shared" si="8"/>
        <v>0.29585164540679598</v>
      </c>
      <c r="H16" s="25">
        <f t="shared" si="2"/>
        <v>0.88181981481783889</v>
      </c>
      <c r="I16" s="25">
        <f t="shared" si="9"/>
        <v>0</v>
      </c>
      <c r="J16" s="25">
        <f t="shared" si="9"/>
        <v>2.2399731873533682E-2</v>
      </c>
      <c r="K16" s="25">
        <f t="shared" si="9"/>
        <v>0.1566820768516245</v>
      </c>
      <c r="L16" s="25">
        <f t="shared" si="11"/>
        <v>0</v>
      </c>
      <c r="M16" s="25">
        <f t="shared" si="3"/>
        <v>9.9796334012219948E-3</v>
      </c>
      <c r="N16" s="25">
        <f t="shared" si="3"/>
        <v>7.9739373254731613E-2</v>
      </c>
      <c r="O16">
        <f t="shared" si="4"/>
        <v>0</v>
      </c>
      <c r="P16">
        <f t="shared" si="5"/>
        <v>148.35775488772202</v>
      </c>
      <c r="Q16">
        <f t="shared" si="6"/>
        <v>332.88095066249559</v>
      </c>
      <c r="R16">
        <v>0</v>
      </c>
      <c r="S16">
        <f t="shared" si="12"/>
        <v>6.4503371690313926</v>
      </c>
      <c r="T16">
        <f t="shared" si="7"/>
        <v>3.6986772295832844</v>
      </c>
      <c r="V16">
        <f>'Planungstool Heizlast'!$B$22*'Temperaturstunden profile'!C16*A16/$A$26</f>
        <v>0</v>
      </c>
      <c r="W16">
        <f>'Planungstool Heizlast'!$B$22*'Temperaturstunden profile'!D16*A16/$A$14</f>
        <v>200.98458052762152</v>
      </c>
      <c r="X16">
        <f>'Planungstool Heizlast'!$B$22*'Temperaturstunden profile'!E16*A16/$A$2</f>
        <v>538.10516983367779</v>
      </c>
    </row>
    <row r="17" spans="1:24" x14ac:dyDescent="0.25">
      <c r="A17" s="1">
        <f t="shared" si="1"/>
        <v>60.526315789473685</v>
      </c>
      <c r="B17" s="24">
        <v>-7</v>
      </c>
      <c r="C17" s="24">
        <v>0</v>
      </c>
      <c r="D17" s="24">
        <v>24</v>
      </c>
      <c r="E17" s="24">
        <v>125</v>
      </c>
      <c r="F17" s="25">
        <f t="shared" si="10"/>
        <v>0</v>
      </c>
      <c r="G17" s="25">
        <f t="shared" si="8"/>
        <v>0.29585164540679598</v>
      </c>
      <c r="H17" s="25">
        <f t="shared" si="2"/>
        <v>1.1737185035191142</v>
      </c>
      <c r="I17" s="25">
        <f t="shared" si="9"/>
        <v>0</v>
      </c>
      <c r="J17" s="25">
        <f t="shared" si="9"/>
        <v>3.2677913082337168E-2</v>
      </c>
      <c r="K17" s="25">
        <f t="shared" si="9"/>
        <v>0.18737788407127837</v>
      </c>
      <c r="L17" s="25">
        <f t="shared" si="11"/>
        <v>0</v>
      </c>
      <c r="M17" s="25">
        <f t="shared" si="3"/>
        <v>1.4867617107942974E-2</v>
      </c>
      <c r="N17" s="25">
        <f t="shared" si="3"/>
        <v>9.913124418243871E-2</v>
      </c>
      <c r="O17">
        <f t="shared" si="4"/>
        <v>0</v>
      </c>
      <c r="P17">
        <f t="shared" si="5"/>
        <v>148.35775488772202</v>
      </c>
      <c r="Q17">
        <f t="shared" si="6"/>
        <v>443.07070979383099</v>
      </c>
      <c r="R17">
        <v>0</v>
      </c>
      <c r="S17">
        <f t="shared" si="12"/>
        <v>6.181573120321751</v>
      </c>
      <c r="T17">
        <f t="shared" si="7"/>
        <v>3.5445656783506481</v>
      </c>
      <c r="V17">
        <f>'Planungstool Heizlast'!$B$22*'Temperaturstunden profile'!C17*A17/$A$26</f>
        <v>0</v>
      </c>
      <c r="W17">
        <f>'Planungstool Heizlast'!$B$22*'Temperaturstunden profile'!D17*A17/$A$14</f>
        <v>200.98458052762155</v>
      </c>
      <c r="X17">
        <f>'Planungstool Heizlast'!$B$22*'Temperaturstunden profile'!E17*A17/$A$2</f>
        <v>716.22794595917776</v>
      </c>
    </row>
    <row r="18" spans="1:24" x14ac:dyDescent="0.25">
      <c r="A18" s="1">
        <f t="shared" si="1"/>
        <v>57.89473684210526</v>
      </c>
      <c r="B18" s="24">
        <v>-6</v>
      </c>
      <c r="C18" s="24">
        <v>0</v>
      </c>
      <c r="D18" s="24">
        <v>27</v>
      </c>
      <c r="E18" s="24">
        <v>169</v>
      </c>
      <c r="F18" s="25">
        <f t="shared" si="10"/>
        <v>0</v>
      </c>
      <c r="G18" s="25">
        <f t="shared" si="8"/>
        <v>0.3183620966877479</v>
      </c>
      <c r="H18" s="25">
        <f t="shared" si="2"/>
        <v>1.5178731812466317</v>
      </c>
      <c r="I18" s="25">
        <f t="shared" si="9"/>
        <v>0</v>
      </c>
      <c r="J18" s="25">
        <f t="shared" si="9"/>
        <v>4.3738129817897438E-2</v>
      </c>
      <c r="K18" s="25">
        <f t="shared" si="9"/>
        <v>0.22707423580786029</v>
      </c>
      <c r="L18" s="25">
        <f t="shared" si="11"/>
        <v>0</v>
      </c>
      <c r="M18" s="25">
        <f t="shared" si="3"/>
        <v>2.0366598778004074E-2</v>
      </c>
      <c r="N18" s="25">
        <f t="shared" si="3"/>
        <v>0.12534905367669871</v>
      </c>
      <c r="O18">
        <f t="shared" si="4"/>
        <v>0</v>
      </c>
      <c r="P18">
        <f t="shared" si="5"/>
        <v>159.64584493352697</v>
      </c>
      <c r="Q18">
        <f t="shared" si="6"/>
        <v>572.98674748294377</v>
      </c>
      <c r="R18">
        <v>0</v>
      </c>
      <c r="S18">
        <f t="shared" si="12"/>
        <v>5.9128090716121102</v>
      </c>
      <c r="T18">
        <f t="shared" si="7"/>
        <v>3.3904541271180104</v>
      </c>
      <c r="V18">
        <f>'Planungstool Heizlast'!$B$22*'Temperaturstunden profile'!C18*A18/$A$26</f>
        <v>0</v>
      </c>
      <c r="W18">
        <f>'Planungstool Heizlast'!$B$22*'Temperaturstunden profile'!D18*A18/$A$14</f>
        <v>216.27688556776667</v>
      </c>
      <c r="X18">
        <f>'Planungstool Heizlast'!$B$22*'Temperaturstunden profile'!E18*A18/$A$2</f>
        <v>926.23843585259908</v>
      </c>
    </row>
    <row r="19" spans="1:24" x14ac:dyDescent="0.25">
      <c r="A19" s="1">
        <f t="shared" si="1"/>
        <v>55.263157894736842</v>
      </c>
      <c r="B19" s="24">
        <v>-5</v>
      </c>
      <c r="C19" s="24">
        <v>0</v>
      </c>
      <c r="D19" s="24">
        <v>68</v>
      </c>
      <c r="E19" s="24">
        <v>195</v>
      </c>
      <c r="F19" s="25">
        <f t="shared" si="10"/>
        <v>0</v>
      </c>
      <c r="G19" s="25">
        <f t="shared" si="8"/>
        <v>0.76535534355236368</v>
      </c>
      <c r="H19" s="25">
        <f t="shared" si="2"/>
        <v>1.6717833989254864</v>
      </c>
      <c r="I19" s="25">
        <f t="shared" si="9"/>
        <v>0</v>
      </c>
      <c r="J19" s="25">
        <f t="shared" si="9"/>
        <v>7.0327337727628197E-2</v>
      </c>
      <c r="K19" s="25">
        <f t="shared" si="9"/>
        <v>0.27079574209115859</v>
      </c>
      <c r="L19" s="25">
        <f t="shared" si="11"/>
        <v>0</v>
      </c>
      <c r="M19" s="25">
        <f t="shared" si="11"/>
        <v>3.4215885947046845E-2</v>
      </c>
      <c r="N19" s="25">
        <f t="shared" si="11"/>
        <v>0.15560037232392179</v>
      </c>
      <c r="O19">
        <f t="shared" si="4"/>
        <v>0</v>
      </c>
      <c r="P19">
        <f t="shared" si="5"/>
        <v>383.79506155736794</v>
      </c>
      <c r="Q19">
        <f t="shared" si="6"/>
        <v>631.08680229764809</v>
      </c>
      <c r="R19">
        <v>0</v>
      </c>
      <c r="S19">
        <f t="shared" si="12"/>
        <v>5.6440450229024695</v>
      </c>
      <c r="T19">
        <f t="shared" si="7"/>
        <v>3.236342575885375</v>
      </c>
      <c r="V19">
        <f>'Planungstool Heizlast'!$B$22*'Temperaturstunden profile'!C19*A19/$A$26</f>
        <v>0</v>
      </c>
      <c r="W19">
        <f>'Planungstool Heizlast'!$B$22*'Temperaturstunden profile'!D19*A19/$A$14</f>
        <v>519.93837136493403</v>
      </c>
      <c r="X19">
        <f>'Planungstool Heizlast'!$B$22*'Temperaturstunden profile'!E19*A19/$A$2</f>
        <v>1020.1577178096808</v>
      </c>
    </row>
    <row r="20" spans="1:24" x14ac:dyDescent="0.25">
      <c r="A20" s="1">
        <f t="shared" si="1"/>
        <v>52.631578947368418</v>
      </c>
      <c r="B20" s="24">
        <v>-4</v>
      </c>
      <c r="C20" s="24">
        <v>0</v>
      </c>
      <c r="D20" s="24">
        <v>91</v>
      </c>
      <c r="E20" s="24">
        <v>278</v>
      </c>
      <c r="F20" s="25">
        <f t="shared" si="10"/>
        <v>0</v>
      </c>
      <c r="G20" s="25">
        <f t="shared" si="8"/>
        <v>0.97545288884124759</v>
      </c>
      <c r="H20" s="25">
        <f t="shared" si="2"/>
        <v>2.2698695233274</v>
      </c>
      <c r="I20" s="25">
        <f t="shared" ref="I20:K35" si="13">(I19+F20/F$40)</f>
        <v>0</v>
      </c>
      <c r="J20" s="25">
        <f t="shared" si="13"/>
        <v>0.10421554388708895</v>
      </c>
      <c r="K20" s="25">
        <f t="shared" si="13"/>
        <v>0.33015876405334132</v>
      </c>
      <c r="L20" s="25">
        <f t="shared" ref="L20:N35" si="14">(L19+C20/C$40)</f>
        <v>0</v>
      </c>
      <c r="M20" s="25">
        <f t="shared" si="14"/>
        <v>5.2749490835030555E-2</v>
      </c>
      <c r="N20" s="25">
        <f t="shared" si="14"/>
        <v>0.19872789326714241</v>
      </c>
      <c r="O20">
        <f t="shared" si="4"/>
        <v>0</v>
      </c>
      <c r="P20">
        <f t="shared" si="5"/>
        <v>489.15056865154725</v>
      </c>
      <c r="Q20">
        <f t="shared" si="6"/>
        <v>856.86022485346086</v>
      </c>
      <c r="R20">
        <v>0</v>
      </c>
      <c r="S20">
        <f t="shared" si="12"/>
        <v>5.3752809741928269</v>
      </c>
      <c r="T20">
        <f t="shared" si="7"/>
        <v>3.0822310246527369</v>
      </c>
      <c r="V20">
        <f>'Planungstool Heizlast'!$B$22*'Temperaturstunden profile'!C20*A20/$A$26</f>
        <v>0</v>
      </c>
      <c r="W20">
        <f>'Planungstool Heizlast'!$B$22*'Temperaturstunden profile'!D20*A20/$A$14</f>
        <v>662.6665517396217</v>
      </c>
      <c r="X20">
        <f>'Planungstool Heizlast'!$B$22*'Temperaturstunden profile'!E20*A20/$A$2</f>
        <v>1385.1225667940964</v>
      </c>
    </row>
    <row r="21" spans="1:24" x14ac:dyDescent="0.25">
      <c r="A21" s="1">
        <f t="shared" si="1"/>
        <v>50</v>
      </c>
      <c r="B21" s="24">
        <v>-3</v>
      </c>
      <c r="C21" s="24">
        <v>0</v>
      </c>
      <c r="D21" s="24">
        <v>89</v>
      </c>
      <c r="E21" s="24">
        <v>306</v>
      </c>
      <c r="F21" s="25">
        <f t="shared" si="10"/>
        <v>0</v>
      </c>
      <c r="G21" s="25">
        <f t="shared" si="8"/>
        <v>0.90631364562118122</v>
      </c>
      <c r="H21" s="25">
        <f t="shared" si="2"/>
        <v>2.3735650015513499</v>
      </c>
      <c r="I21" s="25">
        <f t="shared" si="13"/>
        <v>0</v>
      </c>
      <c r="J21" s="25">
        <f t="shared" si="13"/>
        <v>0.13570178378579673</v>
      </c>
      <c r="K21" s="25">
        <f t="shared" si="13"/>
        <v>0.39223369385336482</v>
      </c>
      <c r="L21" s="25">
        <f t="shared" si="14"/>
        <v>0</v>
      </c>
      <c r="M21" s="25">
        <f t="shared" si="14"/>
        <v>7.0875763747454176E-2</v>
      </c>
      <c r="N21" s="25">
        <f t="shared" si="14"/>
        <v>0.24619919329816942</v>
      </c>
      <c r="O21">
        <f t="shared" si="4"/>
        <v>0</v>
      </c>
      <c r="P21">
        <f t="shared" si="5"/>
        <v>454.4800063680035</v>
      </c>
      <c r="Q21">
        <f t="shared" si="6"/>
        <v>896.00455886655084</v>
      </c>
      <c r="R21">
        <v>0</v>
      </c>
      <c r="S21">
        <f t="shared" si="12"/>
        <v>5.1065169254831853</v>
      </c>
      <c r="T21">
        <f t="shared" si="7"/>
        <v>2.9281194734201006</v>
      </c>
      <c r="V21">
        <f>'Planungstool Heizlast'!$B$22*'Temperaturstunden profile'!C21*A21/$A$26</f>
        <v>0</v>
      </c>
      <c r="W21">
        <f>'Planungstool Heizlast'!$B$22*'Temperaturstunden profile'!D21*A21/$A$14</f>
        <v>615.69732911631888</v>
      </c>
      <c r="X21">
        <f>'Planungstool Heizlast'!$B$22*'Temperaturstunden profile'!E21*A21/$A$2</f>
        <v>1448.399748802316</v>
      </c>
    </row>
    <row r="22" spans="1:24" x14ac:dyDescent="0.25">
      <c r="A22" s="1">
        <f t="shared" si="1"/>
        <v>47.368421052631582</v>
      </c>
      <c r="B22" s="24">
        <v>-2</v>
      </c>
      <c r="C22" s="24">
        <v>0</v>
      </c>
      <c r="D22" s="24">
        <v>165</v>
      </c>
      <c r="E22" s="24">
        <v>454</v>
      </c>
      <c r="F22" s="25">
        <f t="shared" si="10"/>
        <v>0</v>
      </c>
      <c r="G22" s="25">
        <f t="shared" si="8"/>
        <v>1.5918104834387394</v>
      </c>
      <c r="H22" s="25">
        <f t="shared" si="2"/>
        <v>3.3362182993941571</v>
      </c>
      <c r="I22" s="25">
        <f t="shared" si="13"/>
        <v>0</v>
      </c>
      <c r="J22" s="25">
        <f t="shared" si="13"/>
        <v>0.1910028674635981</v>
      </c>
      <c r="K22" s="25">
        <f t="shared" si="13"/>
        <v>0.47948452397476005</v>
      </c>
      <c r="L22" s="25">
        <f t="shared" si="14"/>
        <v>0</v>
      </c>
      <c r="M22" s="25">
        <f t="shared" si="14"/>
        <v>0.10448065173116089</v>
      </c>
      <c r="N22" s="25">
        <f t="shared" si="14"/>
        <v>0.31663046850760163</v>
      </c>
      <c r="O22">
        <f t="shared" si="4"/>
        <v>0</v>
      </c>
      <c r="P22">
        <f t="shared" si="5"/>
        <v>798.22922466763498</v>
      </c>
      <c r="Q22">
        <f t="shared" si="6"/>
        <v>1259.3995966731086</v>
      </c>
      <c r="R22">
        <v>0</v>
      </c>
      <c r="S22">
        <f t="shared" si="12"/>
        <v>4.8377528767735454</v>
      </c>
      <c r="T22">
        <f t="shared" si="7"/>
        <v>2.7740079221874638</v>
      </c>
      <c r="V22">
        <f>'Planungstool Heizlast'!$B$22*'Temperaturstunden profile'!C22*A22/$A$26</f>
        <v>0</v>
      </c>
      <c r="W22">
        <f>'Planungstool Heizlast'!$B$22*'Temperaturstunden profile'!D22*A22/$A$14</f>
        <v>1081.3844278388335</v>
      </c>
      <c r="X22">
        <f>'Planungstool Heizlast'!$B$22*'Temperaturstunden profile'!E22*A22/$A$2</f>
        <v>2035.8312258707479</v>
      </c>
    </row>
    <row r="23" spans="1:24" x14ac:dyDescent="0.25">
      <c r="A23" s="1">
        <f t="shared" si="1"/>
        <v>44.736842105263158</v>
      </c>
      <c r="B23" s="24">
        <v>-1</v>
      </c>
      <c r="C23" s="24">
        <v>0</v>
      </c>
      <c r="D23" s="24">
        <v>173</v>
      </c>
      <c r="E23" s="24">
        <v>385</v>
      </c>
      <c r="F23" s="25">
        <f t="shared" si="10"/>
        <v>0</v>
      </c>
      <c r="G23" s="25">
        <f t="shared" si="8"/>
        <v>1.576267552792368</v>
      </c>
      <c r="H23" s="25">
        <f t="shared" si="2"/>
        <v>2.6719956888809056</v>
      </c>
      <c r="I23" s="25">
        <f t="shared" si="13"/>
        <v>0</v>
      </c>
      <c r="J23" s="25">
        <f t="shared" si="13"/>
        <v>0.24576397423006741</v>
      </c>
      <c r="K23" s="25">
        <f t="shared" si="13"/>
        <v>0.54936419641045897</v>
      </c>
      <c r="L23" s="25">
        <f t="shared" si="14"/>
        <v>0</v>
      </c>
      <c r="M23" s="25">
        <f t="shared" si="14"/>
        <v>0.13971486761710794</v>
      </c>
      <c r="N23" s="25">
        <f t="shared" si="14"/>
        <v>0.37635743096493951</v>
      </c>
      <c r="O23">
        <f t="shared" si="4"/>
        <v>0</v>
      </c>
      <c r="P23">
        <f t="shared" si="5"/>
        <v>790.43506725505529</v>
      </c>
      <c r="Q23">
        <f t="shared" si="6"/>
        <v>1008.6601028176084</v>
      </c>
      <c r="R23">
        <v>0</v>
      </c>
      <c r="S23">
        <f t="shared" si="12"/>
        <v>4.5689888280639037</v>
      </c>
      <c r="T23">
        <f t="shared" si="7"/>
        <v>2.6198963709548271</v>
      </c>
      <c r="V23">
        <f>'Planungstool Heizlast'!$B$22*'Temperaturstunden profile'!C23*A23/$A$26</f>
        <v>0</v>
      </c>
      <c r="W23">
        <f>'Planungstool Heizlast'!$B$22*'Temperaturstunden profile'!D23*A23/$A$14</f>
        <v>1070.825455311114</v>
      </c>
      <c r="X23">
        <f>'Planungstool Heizlast'!$B$22*'Temperaturstunden profile'!E23*A23/$A$2</f>
        <v>1630.5084891488063</v>
      </c>
    </row>
    <row r="24" spans="1:24" x14ac:dyDescent="0.25">
      <c r="A24" s="1">
        <f t="shared" si="1"/>
        <v>42.10526315789474</v>
      </c>
      <c r="B24" s="24">
        <v>0</v>
      </c>
      <c r="C24" s="24">
        <v>0</v>
      </c>
      <c r="D24" s="24">
        <v>240</v>
      </c>
      <c r="E24" s="24">
        <v>490</v>
      </c>
      <c r="F24" s="25">
        <f t="shared" si="10"/>
        <v>0</v>
      </c>
      <c r="G24" s="25">
        <f t="shared" si="8"/>
        <v>2.0580984028298852</v>
      </c>
      <c r="H24" s="25">
        <f t="shared" si="2"/>
        <v>3.2006793278573413</v>
      </c>
      <c r="I24" s="25">
        <f t="shared" si="13"/>
        <v>0</v>
      </c>
      <c r="J24" s="25">
        <f t="shared" si="13"/>
        <v>0.31726436524783075</v>
      </c>
      <c r="K24" s="25">
        <f t="shared" si="13"/>
        <v>0.63307032809814112</v>
      </c>
      <c r="L24" s="25">
        <f t="shared" si="14"/>
        <v>0</v>
      </c>
      <c r="M24" s="25">
        <f t="shared" si="14"/>
        <v>0.18859470468431772</v>
      </c>
      <c r="N24" s="25">
        <f t="shared" si="14"/>
        <v>0.45237356500155135</v>
      </c>
      <c r="O24">
        <f t="shared" si="4"/>
        <v>0</v>
      </c>
      <c r="P24">
        <f t="shared" si="5"/>
        <v>1032.0539470450228</v>
      </c>
      <c r="Q24">
        <f t="shared" si="6"/>
        <v>1208.2345616638729</v>
      </c>
      <c r="R24">
        <v>0</v>
      </c>
      <c r="S24">
        <f t="shared" si="12"/>
        <v>4.3002247793542621</v>
      </c>
      <c r="T24">
        <f t="shared" si="7"/>
        <v>2.4657848197221894</v>
      </c>
      <c r="V24">
        <f>'Planungstool Heizlast'!$B$22*'Temperaturstunden profile'!C24*A24/$A$26</f>
        <v>0</v>
      </c>
      <c r="W24">
        <f>'Planungstool Heizlast'!$B$22*'Temperaturstunden profile'!D24*A24/$A$14</f>
        <v>1398.1536036704108</v>
      </c>
      <c r="X24">
        <f>'Planungstool Heizlast'!$B$22*'Temperaturstunden profile'!E24*A24/$A$2</f>
        <v>1953.1224682852012</v>
      </c>
    </row>
    <row r="25" spans="1:24" x14ac:dyDescent="0.25">
      <c r="A25" s="1">
        <f t="shared" si="1"/>
        <v>39.473684210526315</v>
      </c>
      <c r="B25" s="24">
        <v>1</v>
      </c>
      <c r="C25" s="24">
        <v>0</v>
      </c>
      <c r="D25" s="24">
        <v>280</v>
      </c>
      <c r="E25" s="24">
        <v>533</v>
      </c>
      <c r="F25" s="25">
        <f t="shared" si="10"/>
        <v>0</v>
      </c>
      <c r="G25" s="25">
        <f t="shared" si="8"/>
        <v>2.2510451280951869</v>
      </c>
      <c r="H25" s="25">
        <f t="shared" si="2"/>
        <v>3.2639580645688064</v>
      </c>
      <c r="I25" s="25">
        <f t="shared" si="13"/>
        <v>0</v>
      </c>
      <c r="J25" s="25">
        <f t="shared" si="13"/>
        <v>0.39546791792350944</v>
      </c>
      <c r="K25" s="25">
        <f t="shared" si="13"/>
        <v>0.71843136417505682</v>
      </c>
      <c r="L25" s="25">
        <f t="shared" si="14"/>
        <v>0</v>
      </c>
      <c r="M25" s="25">
        <f t="shared" si="14"/>
        <v>0.24562118126272914</v>
      </c>
      <c r="N25" s="25">
        <f t="shared" si="14"/>
        <v>0.53506050263729443</v>
      </c>
      <c r="O25">
        <f t="shared" si="4"/>
        <v>0</v>
      </c>
      <c r="P25">
        <f t="shared" si="5"/>
        <v>1128.8090045804938</v>
      </c>
      <c r="Q25">
        <f t="shared" si="6"/>
        <v>1232.1218521049318</v>
      </c>
      <c r="R25">
        <v>0</v>
      </c>
      <c r="S25">
        <f t="shared" si="12"/>
        <v>4.0314607306446204</v>
      </c>
      <c r="T25">
        <f t="shared" si="7"/>
        <v>2.3116732684895531</v>
      </c>
      <c r="V25">
        <f>'Planungstool Heizlast'!$B$22*'Temperaturstunden profile'!C25*A25/$A$26</f>
        <v>0</v>
      </c>
      <c r="W25">
        <f>'Planungstool Heizlast'!$B$22*'Temperaturstunden profile'!D25*A25/$A$14</f>
        <v>1529.2305040145116</v>
      </c>
      <c r="X25">
        <f>'Planungstool Heizlast'!$B$22*'Temperaturstunden profile'!E25*A25/$A$2</f>
        <v>1991.7364966760435</v>
      </c>
    </row>
    <row r="26" spans="1:24" x14ac:dyDescent="0.25">
      <c r="A26" s="1">
        <f t="shared" si="1"/>
        <v>36.842105263157897</v>
      </c>
      <c r="B26" s="24">
        <v>2</v>
      </c>
      <c r="C26" s="24">
        <v>3</v>
      </c>
      <c r="D26" s="24">
        <v>320</v>
      </c>
      <c r="E26" s="24">
        <v>380</v>
      </c>
      <c r="F26" s="25">
        <f t="shared" si="10"/>
        <v>3.078727459316816E-2</v>
      </c>
      <c r="G26" s="25">
        <f t="shared" si="8"/>
        <v>2.401114803301533</v>
      </c>
      <c r="H26" s="25">
        <f t="shared" si="2"/>
        <v>2.171889543903196</v>
      </c>
      <c r="I26" s="25">
        <f t="shared" si="13"/>
        <v>2.2458692048553555E-3</v>
      </c>
      <c r="J26" s="25">
        <f t="shared" si="13"/>
        <v>0.47888504077756672</v>
      </c>
      <c r="K26" s="25">
        <f t="shared" si="13"/>
        <v>0.77523195353455543</v>
      </c>
      <c r="L26" s="25">
        <f t="shared" si="14"/>
        <v>8.3565459610027853E-4</v>
      </c>
      <c r="M26" s="25">
        <f t="shared" si="14"/>
        <v>0.31079429735234215</v>
      </c>
      <c r="N26" s="25">
        <f t="shared" si="14"/>
        <v>0.59401179025752404</v>
      </c>
      <c r="O26">
        <f>F26/$F$40*$C$48</f>
        <v>32.417419603229774</v>
      </c>
      <c r="P26">
        <f t="shared" si="5"/>
        <v>1204.0629382191935</v>
      </c>
      <c r="Q26">
        <f t="shared" si="6"/>
        <v>819.87345255762818</v>
      </c>
      <c r="R26">
        <f t="shared" ref="R26:R39" si="15">O26/C26</f>
        <v>10.805806534409925</v>
      </c>
      <c r="S26">
        <f t="shared" si="12"/>
        <v>3.7626966819349796</v>
      </c>
      <c r="T26">
        <f t="shared" si="7"/>
        <v>2.1575617172569164</v>
      </c>
      <c r="V26">
        <f>'Planungstool Heizlast'!$B$22*'Temperaturstunden profile'!C26*A26/$A$26</f>
        <v>28.399995074555214</v>
      </c>
      <c r="W26">
        <f>'Planungstool Heizlast'!$B$22*'Temperaturstunden profile'!D26*A26/$A$14</f>
        <v>1631.179204282146</v>
      </c>
      <c r="X26">
        <f>'Planungstool Heizlast'!$B$22*'Temperaturstunden profile'!E26*A26/$A$2</f>
        <v>1325.3331034792436</v>
      </c>
    </row>
    <row r="27" spans="1:24" x14ac:dyDescent="0.25">
      <c r="A27" s="1">
        <f t="shared" si="1"/>
        <v>34.210526315789473</v>
      </c>
      <c r="B27" s="24">
        <v>3</v>
      </c>
      <c r="C27" s="24">
        <v>22</v>
      </c>
      <c r="D27" s="24">
        <v>357</v>
      </c>
      <c r="E27" s="24">
        <v>228</v>
      </c>
      <c r="F27" s="25">
        <f t="shared" si="10"/>
        <v>0.20964667937252604</v>
      </c>
      <c r="G27" s="25">
        <f t="shared" si="8"/>
        <v>2.4874048665451816</v>
      </c>
      <c r="H27" s="25">
        <f t="shared" si="2"/>
        <v>1.2100527458889234</v>
      </c>
      <c r="I27" s="25">
        <f t="shared" si="13"/>
        <v>1.7539169028394204E-2</v>
      </c>
      <c r="J27" s="25">
        <f t="shared" si="13"/>
        <v>0.56529996648419167</v>
      </c>
      <c r="K27" s="25">
        <f t="shared" si="13"/>
        <v>0.80687799617770462</v>
      </c>
      <c r="L27" s="25">
        <f t="shared" si="14"/>
        <v>6.9637883008356544E-3</v>
      </c>
      <c r="M27" s="25">
        <f t="shared" si="14"/>
        <v>0.38350305498981668</v>
      </c>
      <c r="N27" s="25">
        <f t="shared" si="14"/>
        <v>0.62938256282966176</v>
      </c>
      <c r="O27">
        <f t="shared" si="4"/>
        <v>220.74719063151704</v>
      </c>
      <c r="P27">
        <f t="shared" si="5"/>
        <v>1247.3339500614456</v>
      </c>
      <c r="Q27">
        <f t="shared" si="6"/>
        <v>456.78663785353569</v>
      </c>
      <c r="R27">
        <f t="shared" si="15"/>
        <v>10.033963210523503</v>
      </c>
      <c r="S27">
        <f t="shared" si="12"/>
        <v>3.493932633225338</v>
      </c>
      <c r="T27">
        <f t="shared" si="7"/>
        <v>2.0034501660242792</v>
      </c>
      <c r="V27">
        <f>'Planungstool Heizlast'!$B$22*'Temperaturstunden profile'!C27*A27/$A$26</f>
        <v>193.39044265054267</v>
      </c>
      <c r="W27">
        <f>'Planungstool Heizlast'!$B$22*'Temperaturstunden profile'!D27*A27/$A$14</f>
        <v>1689.7997069360354</v>
      </c>
      <c r="X27">
        <f>'Planungstool Heizlast'!$B$22*'Temperaturstunden profile'!E27*A27/$A$2</f>
        <v>738.39987193843569</v>
      </c>
    </row>
    <row r="28" spans="1:24" x14ac:dyDescent="0.25">
      <c r="A28" s="1">
        <f t="shared" si="1"/>
        <v>31.578947368421051</v>
      </c>
      <c r="B28" s="24">
        <v>4</v>
      </c>
      <c r="C28" s="24">
        <v>63</v>
      </c>
      <c r="D28" s="24">
        <v>356</v>
      </c>
      <c r="E28" s="24">
        <v>261</v>
      </c>
      <c r="F28" s="25">
        <f t="shared" si="10"/>
        <v>0.55417094267702682</v>
      </c>
      <c r="G28" s="25">
        <f t="shared" si="8"/>
        <v>2.2896344731482476</v>
      </c>
      <c r="H28" s="25">
        <f t="shared" si="2"/>
        <v>1.2786387314858665</v>
      </c>
      <c r="I28" s="25">
        <f t="shared" si="13"/>
        <v>5.7964814715790597E-2</v>
      </c>
      <c r="J28" s="25">
        <f t="shared" si="13"/>
        <v>0.64484415149145347</v>
      </c>
      <c r="K28" s="25">
        <f t="shared" si="13"/>
        <v>0.84031774164273276</v>
      </c>
      <c r="L28" s="25">
        <f t="shared" si="14"/>
        <v>2.4512534818941504E-2</v>
      </c>
      <c r="M28" s="25">
        <f t="shared" si="14"/>
        <v>0.45600814663951117</v>
      </c>
      <c r="N28" s="25">
        <f t="shared" si="14"/>
        <v>0.66987278932671424</v>
      </c>
      <c r="O28">
        <f t="shared" si="4"/>
        <v>583.51355285813588</v>
      </c>
      <c r="P28">
        <f t="shared" si="5"/>
        <v>1148.160016087588</v>
      </c>
      <c r="Q28">
        <f t="shared" si="6"/>
        <v>482.67737846061874</v>
      </c>
      <c r="R28">
        <f t="shared" si="15"/>
        <v>9.2621198866370769</v>
      </c>
      <c r="S28">
        <f t="shared" si="12"/>
        <v>3.2251685845156968</v>
      </c>
      <c r="T28">
        <f t="shared" si="7"/>
        <v>1.8493386147916426</v>
      </c>
      <c r="V28">
        <f>'Planungstool Heizlast'!$B$22*'Temperaturstunden profile'!C28*A28/$A$26</f>
        <v>511.19991134199387</v>
      </c>
      <c r="W28">
        <f>'Planungstool Heizlast'!$B$22*'Temperaturstunden profile'!D28*A28/$A$14</f>
        <v>1555.445884083332</v>
      </c>
      <c r="X28">
        <f>'Planungstool Heizlast'!$B$22*'Temperaturstunden profile'!E28*A28/$A$2</f>
        <v>780.25249625883282</v>
      </c>
    </row>
    <row r="29" spans="1:24" x14ac:dyDescent="0.25">
      <c r="A29" s="1">
        <f t="shared" si="1"/>
        <v>28.94736842105263</v>
      </c>
      <c r="B29" s="24">
        <v>5</v>
      </c>
      <c r="C29" s="24">
        <v>63</v>
      </c>
      <c r="D29" s="24">
        <v>303</v>
      </c>
      <c r="E29" s="24">
        <v>279</v>
      </c>
      <c r="F29" s="25">
        <f t="shared" si="10"/>
        <v>0.50799003078727456</v>
      </c>
      <c r="G29" s="25">
        <f t="shared" si="8"/>
        <v>1.7863650980812518</v>
      </c>
      <c r="H29" s="25">
        <f t="shared" si="2"/>
        <v>1.2529189868870128</v>
      </c>
      <c r="I29" s="25">
        <f t="shared" si="13"/>
        <v>9.5021656595903947E-2</v>
      </c>
      <c r="J29" s="25">
        <f t="shared" si="13"/>
        <v>0.70690425650765276</v>
      </c>
      <c r="K29" s="25">
        <f t="shared" si="13"/>
        <v>0.87308484854955626</v>
      </c>
      <c r="L29" s="25">
        <f t="shared" si="14"/>
        <v>4.2061281337047354E-2</v>
      </c>
      <c r="M29" s="25">
        <f t="shared" si="14"/>
        <v>0.51771894093686355</v>
      </c>
      <c r="N29" s="25">
        <f t="shared" si="14"/>
        <v>0.71315544523735652</v>
      </c>
      <c r="O29">
        <f t="shared" si="4"/>
        <v>534.88742345329115</v>
      </c>
      <c r="P29">
        <f t="shared" si="5"/>
        <v>895.79057434923459</v>
      </c>
      <c r="Q29">
        <f t="shared" si="6"/>
        <v>472.96835073296251</v>
      </c>
      <c r="R29">
        <f t="shared" si="15"/>
        <v>8.4902765627506529</v>
      </c>
      <c r="S29">
        <f t="shared" si="12"/>
        <v>2.9564045358060547</v>
      </c>
      <c r="T29">
        <f t="shared" si="7"/>
        <v>1.6952270635590054</v>
      </c>
      <c r="V29">
        <f>'Planungstool Heizlast'!$B$22*'Temperaturstunden profile'!C29*A29/$A$26</f>
        <v>468.59991873016105</v>
      </c>
      <c r="W29">
        <f>'Planungstool Heizlast'!$B$22*'Temperaturstunden profile'!D29*A29/$A$14</f>
        <v>1213.5536356858017</v>
      </c>
      <c r="X29">
        <f>'Planungstool Heizlast'!$B$22*'Temperaturstunden profile'!E29*A29/$A$2</f>
        <v>764.55776213868387</v>
      </c>
    </row>
    <row r="30" spans="1:24" x14ac:dyDescent="0.25">
      <c r="A30" s="1">
        <f t="shared" si="1"/>
        <v>26.315789473684209</v>
      </c>
      <c r="B30" s="24">
        <v>6</v>
      </c>
      <c r="C30" s="24">
        <v>175</v>
      </c>
      <c r="D30" s="24">
        <v>330</v>
      </c>
      <c r="E30" s="24">
        <v>229</v>
      </c>
      <c r="F30" s="25">
        <f t="shared" si="10"/>
        <v>1.2828031080486733</v>
      </c>
      <c r="G30" s="25">
        <f t="shared" si="8"/>
        <v>1.7686783149319325</v>
      </c>
      <c r="H30" s="25">
        <f t="shared" si="2"/>
        <v>0.93489230367261622</v>
      </c>
      <c r="I30" s="25">
        <f t="shared" si="13"/>
        <v>0.18859954013154373</v>
      </c>
      <c r="J30" s="25">
        <f t="shared" si="13"/>
        <v>0.76834990503854317</v>
      </c>
      <c r="K30" s="25">
        <f t="shared" si="13"/>
        <v>0.89753472630016751</v>
      </c>
      <c r="L30" s="25">
        <f t="shared" si="14"/>
        <v>9.0807799442896936E-2</v>
      </c>
      <c r="M30" s="25">
        <f t="shared" si="14"/>
        <v>0.58492871690427695</v>
      </c>
      <c r="N30" s="25">
        <f t="shared" si="14"/>
        <v>0.74868135277691594</v>
      </c>
      <c r="O30">
        <f t="shared" si="4"/>
        <v>1350.7258168012404</v>
      </c>
      <c r="P30">
        <f t="shared" si="5"/>
        <v>886.92136074181644</v>
      </c>
      <c r="Q30">
        <f t="shared" si="6"/>
        <v>352.91545232273842</v>
      </c>
      <c r="R30">
        <f t="shared" si="15"/>
        <v>7.7184332388642307</v>
      </c>
      <c r="S30">
        <f t="shared" si="12"/>
        <v>2.6876404870964135</v>
      </c>
      <c r="T30">
        <f t="shared" si="7"/>
        <v>1.5411155123263687</v>
      </c>
      <c r="V30">
        <f>'Planungstool Heizlast'!$B$22*'Temperaturstunden profile'!C30*A30/$A$26</f>
        <v>1183.333128106467</v>
      </c>
      <c r="W30">
        <f>'Planungstool Heizlast'!$B$22*'Temperaturstunden profile'!D30*A30/$A$14</f>
        <v>1201.5382531542593</v>
      </c>
      <c r="X30">
        <f>'Planungstool Heizlast'!$B$22*'Temperaturstunden profile'!E30*A30/$A$2</f>
        <v>570.49112912922317</v>
      </c>
    </row>
    <row r="31" spans="1:24" x14ac:dyDescent="0.25">
      <c r="A31" s="1">
        <f t="shared" si="1"/>
        <v>23.684210526315791</v>
      </c>
      <c r="B31" s="24">
        <v>7</v>
      </c>
      <c r="C31" s="24">
        <v>162</v>
      </c>
      <c r="D31" s="24">
        <v>326</v>
      </c>
      <c r="E31" s="24">
        <v>269</v>
      </c>
      <c r="F31" s="25">
        <f t="shared" si="10"/>
        <v>1.0687582465914089</v>
      </c>
      <c r="G31" s="25">
        <f t="shared" si="8"/>
        <v>1.5725158109122093</v>
      </c>
      <c r="H31" s="25">
        <f t="shared" si="2"/>
        <v>0.98837304244166113</v>
      </c>
      <c r="I31" s="25">
        <f t="shared" si="13"/>
        <v>0.2665632853858082</v>
      </c>
      <c r="J31" s="25">
        <f t="shared" si="13"/>
        <v>0.82298067255055296</v>
      </c>
      <c r="K31" s="25">
        <f t="shared" si="13"/>
        <v>0.9233832651797439</v>
      </c>
      <c r="L31" s="25">
        <f t="shared" si="14"/>
        <v>0.13593314763231198</v>
      </c>
      <c r="M31" s="25">
        <f t="shared" si="14"/>
        <v>0.65132382892057028</v>
      </c>
      <c r="N31" s="25">
        <f t="shared" si="14"/>
        <v>0.79041265901334168</v>
      </c>
      <c r="O31">
        <f t="shared" si="4"/>
        <v>1125.347566226405</v>
      </c>
      <c r="P31">
        <f t="shared" si="5"/>
        <v>788.55371891408777</v>
      </c>
      <c r="Q31">
        <f t="shared" si="6"/>
        <v>373.10406553421387</v>
      </c>
      <c r="R31">
        <f>O31/C31</f>
        <v>6.9465899149778085</v>
      </c>
      <c r="S31">
        <f t="shared" si="12"/>
        <v>2.4188764383867722</v>
      </c>
      <c r="T31">
        <f t="shared" si="7"/>
        <v>1.3870039610937319</v>
      </c>
      <c r="V31">
        <f>'Planungstool Heizlast'!$B$22*'Temperaturstunden profile'!C31*A31/$A$26</f>
        <v>985.88554330241664</v>
      </c>
      <c r="W31">
        <f>'Planungstool Heizlast'!$B$22*'Temperaturstunden profile'!D31*A31/$A$14</f>
        <v>1068.2767378044232</v>
      </c>
      <c r="X31">
        <f>'Planungstool Heizlast'!$B$22*'Temperaturstunden profile'!E31*A31/$A$2</f>
        <v>603.12621118858056</v>
      </c>
    </row>
    <row r="32" spans="1:24" x14ac:dyDescent="0.25">
      <c r="A32" s="1">
        <f t="shared" si="1"/>
        <v>21.05263157894737</v>
      </c>
      <c r="B32" s="24">
        <v>8</v>
      </c>
      <c r="C32" s="24">
        <v>259</v>
      </c>
      <c r="D32" s="24">
        <v>348</v>
      </c>
      <c r="E32" s="24">
        <v>233</v>
      </c>
      <c r="F32" s="25">
        <f t="shared" si="10"/>
        <v>1.5188388799296293</v>
      </c>
      <c r="G32" s="25">
        <f t="shared" si="8"/>
        <v>1.492121342051667</v>
      </c>
      <c r="H32" s="25">
        <f t="shared" si="2"/>
        <v>0.76097784019465364</v>
      </c>
      <c r="I32" s="25">
        <f t="shared" si="13"/>
        <v>0.37735949949200576</v>
      </c>
      <c r="J32" s="25">
        <f t="shared" si="13"/>
        <v>0.87481845603843145</v>
      </c>
      <c r="K32" s="25">
        <f t="shared" si="13"/>
        <v>0.94328482506059075</v>
      </c>
      <c r="L32" s="25">
        <f t="shared" si="14"/>
        <v>0.20807799442896935</v>
      </c>
      <c r="M32" s="25">
        <f t="shared" si="14"/>
        <v>0.72219959266802447</v>
      </c>
      <c r="N32" s="25">
        <f t="shared" si="14"/>
        <v>0.82655910642258767</v>
      </c>
      <c r="O32">
        <f t="shared" si="4"/>
        <v>1599.259367092669</v>
      </c>
      <c r="P32">
        <f t="shared" si="5"/>
        <v>748.23911160764169</v>
      </c>
      <c r="Q32">
        <f t="shared" si="6"/>
        <v>287.26393149763516</v>
      </c>
      <c r="R32">
        <f t="shared" si="15"/>
        <v>6.1747465910913863</v>
      </c>
      <c r="S32">
        <f t="shared" si="12"/>
        <v>2.1501123896771315</v>
      </c>
      <c r="T32">
        <f t="shared" si="7"/>
        <v>1.2328924098610952</v>
      </c>
      <c r="V32">
        <f>'Planungstool Heizlast'!$B$22*'Temperaturstunden profile'!C32*A32/$A$26</f>
        <v>1401.0664236780574</v>
      </c>
      <c r="W32">
        <f>'Planungstool Heizlast'!$B$22*'Temperaturstunden profile'!D32*A32/$A$14</f>
        <v>1013.6613626610479</v>
      </c>
      <c r="X32">
        <f>'Planungstool Heizlast'!$B$22*'Temperaturstunden profile'!E32*A32/$A$2</f>
        <v>464.36483174535897</v>
      </c>
    </row>
    <row r="33" spans="1:24" x14ac:dyDescent="0.25">
      <c r="A33" s="1">
        <f t="shared" si="1"/>
        <v>18.421052631578949</v>
      </c>
      <c r="B33" s="24">
        <v>9</v>
      </c>
      <c r="C33" s="24">
        <v>360</v>
      </c>
      <c r="D33" s="24">
        <v>335</v>
      </c>
      <c r="E33" s="24">
        <v>230</v>
      </c>
      <c r="F33" s="25">
        <f t="shared" si="10"/>
        <v>1.8472364755900896</v>
      </c>
      <c r="G33" s="25">
        <f t="shared" si="8"/>
        <v>1.2568335298531461</v>
      </c>
      <c r="H33" s="25">
        <f t="shared" si="2"/>
        <v>0.65728236197070411</v>
      </c>
      <c r="I33" s="25">
        <f t="shared" si="13"/>
        <v>0.51211165178332707</v>
      </c>
      <c r="J33" s="25">
        <f t="shared" si="13"/>
        <v>0.91848210628235205</v>
      </c>
      <c r="K33" s="25">
        <f t="shared" si="13"/>
        <v>0.9604744771035969</v>
      </c>
      <c r="L33" s="25">
        <f t="shared" si="14"/>
        <v>0.30835654596100276</v>
      </c>
      <c r="M33" s="25">
        <f t="shared" si="14"/>
        <v>0.79042769857433814</v>
      </c>
      <c r="N33" s="25">
        <f t="shared" si="14"/>
        <v>0.86224014892956879</v>
      </c>
      <c r="O33">
        <f t="shared" si="4"/>
        <v>1945.0451761937863</v>
      </c>
      <c r="P33">
        <f t="shared" si="5"/>
        <v>630.25169422410909</v>
      </c>
      <c r="Q33">
        <f t="shared" si="6"/>
        <v>248.11959748454538</v>
      </c>
      <c r="R33">
        <f t="shared" si="15"/>
        <v>5.4029032672049624</v>
      </c>
      <c r="S33">
        <f t="shared" si="12"/>
        <v>1.8813483409674898</v>
      </c>
      <c r="T33">
        <f t="shared" si="7"/>
        <v>1.0787808586284582</v>
      </c>
      <c r="V33">
        <f>'Planungstool Heizlast'!$B$22*'Temperaturstunden profile'!C33*A33/$A$26</f>
        <v>1703.9997044733132</v>
      </c>
      <c r="W33">
        <f>'Planungstool Heizlast'!$B$22*'Temperaturstunden profile'!D33*A33/$A$14</f>
        <v>853.8203647414357</v>
      </c>
      <c r="X33">
        <f>'Planungstool Heizlast'!$B$22*'Temperaturstunden profile'!E33*A33/$A$2</f>
        <v>401.08764973713949</v>
      </c>
    </row>
    <row r="34" spans="1:24" x14ac:dyDescent="0.25">
      <c r="A34" s="1">
        <f t="shared" si="1"/>
        <v>15.789473684210526</v>
      </c>
      <c r="B34" s="24">
        <v>10</v>
      </c>
      <c r="C34" s="24">
        <v>428</v>
      </c>
      <c r="D34" s="24">
        <v>315</v>
      </c>
      <c r="E34" s="24">
        <v>243</v>
      </c>
      <c r="F34" s="25">
        <f t="shared" si="10"/>
        <v>1.8824219322679958</v>
      </c>
      <c r="G34" s="25">
        <f t="shared" si="8"/>
        <v>1.0129703076428342</v>
      </c>
      <c r="H34" s="25">
        <f t="shared" si="2"/>
        <v>0.59522837500204129</v>
      </c>
      <c r="I34" s="25">
        <f t="shared" si="13"/>
        <v>0.64943051173734023</v>
      </c>
      <c r="J34" s="25">
        <f t="shared" si="13"/>
        <v>0.95367370498640747</v>
      </c>
      <c r="K34" s="25">
        <f t="shared" si="13"/>
        <v>0.97604125516490314</v>
      </c>
      <c r="L34" s="25">
        <f t="shared" si="14"/>
        <v>0.42757660167130918</v>
      </c>
      <c r="M34" s="25">
        <f t="shared" si="14"/>
        <v>0.85458248472505094</v>
      </c>
      <c r="N34" s="25">
        <f t="shared" si="14"/>
        <v>0.89993794601303145</v>
      </c>
      <c r="O34">
        <f t="shared" si="4"/>
        <v>1982.0936557403345</v>
      </c>
      <c r="P34">
        <f t="shared" si="5"/>
        <v>507.96405206122228</v>
      </c>
      <c r="Q34">
        <f t="shared" si="6"/>
        <v>224.69464169718455</v>
      </c>
      <c r="R34">
        <f t="shared" si="15"/>
        <v>4.6310599433185384</v>
      </c>
      <c r="S34">
        <f t="shared" si="12"/>
        <v>1.6125842922578484</v>
      </c>
      <c r="T34">
        <f t="shared" si="7"/>
        <v>0.92466930739582121</v>
      </c>
      <c r="V34">
        <f>'Planungstool Heizlast'!$B$22*'Temperaturstunden profile'!C34*A34/$A$26</f>
        <v>1736.4568417013759</v>
      </c>
      <c r="W34">
        <f>'Planungstool Heizlast'!$B$22*'Temperaturstunden profile'!D34*A34/$A$14</f>
        <v>688.15372680653024</v>
      </c>
      <c r="X34">
        <f>'Planungstool Heizlast'!$B$22*'Temperaturstunden profile'!E34*A34/$A$2</f>
        <v>363.22098963773254</v>
      </c>
    </row>
    <row r="35" spans="1:24" x14ac:dyDescent="0.25">
      <c r="A35" s="1">
        <f t="shared" si="1"/>
        <v>13.157894736842104</v>
      </c>
      <c r="B35" s="24">
        <v>11</v>
      </c>
      <c r="C35" s="24">
        <v>430</v>
      </c>
      <c r="D35" s="24">
        <v>215</v>
      </c>
      <c r="E35" s="24">
        <v>191</v>
      </c>
      <c r="F35" s="25">
        <f t="shared" si="10"/>
        <v>1.576015247031227</v>
      </c>
      <c r="G35" s="25">
        <f t="shared" si="8"/>
        <v>0.5761603601672205</v>
      </c>
      <c r="H35" s="25">
        <f t="shared" si="2"/>
        <v>0.38987866812547967</v>
      </c>
      <c r="I35" s="25">
        <f t="shared" si="13"/>
        <v>0.76439762579541193</v>
      </c>
      <c r="J35" s="25">
        <f t="shared" si="13"/>
        <v>0.9736900904926824</v>
      </c>
      <c r="K35" s="25">
        <f t="shared" si="13"/>
        <v>0.98623760156308382</v>
      </c>
      <c r="L35" s="25">
        <f t="shared" si="14"/>
        <v>0.5473537604456824</v>
      </c>
      <c r="M35" s="25">
        <f t="shared" si="14"/>
        <v>0.89837067209775967</v>
      </c>
      <c r="N35" s="25">
        <f t="shared" si="14"/>
        <v>0.92956872479056796</v>
      </c>
      <c r="O35">
        <f t="shared" si="4"/>
        <v>1659.4631463558096</v>
      </c>
      <c r="P35">
        <f t="shared" si="5"/>
        <v>288.92135236286447</v>
      </c>
      <c r="Q35">
        <f t="shared" si="6"/>
        <v>147.17653142716819</v>
      </c>
      <c r="R35">
        <f t="shared" si="15"/>
        <v>3.8592166194321154</v>
      </c>
      <c r="S35">
        <f t="shared" si="12"/>
        <v>1.3438202435482067</v>
      </c>
      <c r="T35">
        <f t="shared" si="7"/>
        <v>0.77055775616318423</v>
      </c>
      <c r="V35">
        <f>'Planungstool Heizlast'!$B$22*'Temperaturstunden profile'!C35*A35/$A$26</f>
        <v>1453.8092716736596</v>
      </c>
      <c r="W35">
        <f>'Planungstool Heizlast'!$B$22*'Temperaturstunden profile'!D35*A35/$A$14</f>
        <v>391.41018852752376</v>
      </c>
      <c r="X35">
        <f>'Planungstool Heizlast'!$B$22*'Temperaturstunden profile'!E35*A35/$A$2</f>
        <v>237.91223944035292</v>
      </c>
    </row>
    <row r="36" spans="1:24" x14ac:dyDescent="0.25">
      <c r="A36" s="1">
        <f t="shared" si="1"/>
        <v>10.526315789473685</v>
      </c>
      <c r="B36" s="24">
        <v>12</v>
      </c>
      <c r="C36" s="24">
        <v>503</v>
      </c>
      <c r="D36" s="24">
        <v>169</v>
      </c>
      <c r="E36" s="24">
        <v>146</v>
      </c>
      <c r="F36" s="25">
        <f t="shared" si="10"/>
        <v>1.4748570590822461</v>
      </c>
      <c r="G36" s="25">
        <f t="shared" si="8"/>
        <v>0.36231107299817772</v>
      </c>
      <c r="H36" s="25">
        <f t="shared" si="2"/>
        <v>0.23841794993223051</v>
      </c>
      <c r="I36" s="25">
        <f t="shared" ref="I36:K39" si="16">(I35+F36/F$40)</f>
        <v>0.87198545532324467</v>
      </c>
      <c r="J36" s="25">
        <f t="shared" si="16"/>
        <v>0.98627713849476784</v>
      </c>
      <c r="K36" s="25">
        <f t="shared" si="16"/>
        <v>0.99247285422961529</v>
      </c>
      <c r="L36" s="25">
        <f t="shared" ref="L36:N39" si="17">(L35+C36/C$40)</f>
        <v>0.68746518105849574</v>
      </c>
      <c r="M36" s="25">
        <f t="shared" si="17"/>
        <v>0.9327902240325866</v>
      </c>
      <c r="N36" s="25">
        <f t="shared" si="17"/>
        <v>0.95221843003412987</v>
      </c>
      <c r="O36">
        <f t="shared" si="4"/>
        <v>1552.9487676594833</v>
      </c>
      <c r="P36">
        <f t="shared" si="5"/>
        <v>181.68449692771756</v>
      </c>
      <c r="Q36">
        <f t="shared" si="6"/>
        <v>90.001145919859923</v>
      </c>
      <c r="R36">
        <f t="shared" si="15"/>
        <v>3.0873732955456927</v>
      </c>
      <c r="S36">
        <f t="shared" si="12"/>
        <v>1.0750561948385655</v>
      </c>
      <c r="T36">
        <f t="shared" si="7"/>
        <v>0.61644620493054747</v>
      </c>
      <c r="V36">
        <f>'Planungstool Heizlast'!$B$22*'Temperaturstunden profile'!C36*A36/$A$26</f>
        <v>1360.4950021429784</v>
      </c>
      <c r="W36">
        <f>'Planungstool Heizlast'!$B$22*'Temperaturstunden profile'!D36*A36/$A$14</f>
        <v>246.13329064614524</v>
      </c>
      <c r="X36">
        <f>'Planungstool Heizlast'!$B$22*'Temperaturstunden profile'!E36*A36/$A$2</f>
        <v>145.48769406614252</v>
      </c>
    </row>
    <row r="37" spans="1:24" x14ac:dyDescent="0.25">
      <c r="A37" s="1">
        <f t="shared" si="1"/>
        <v>7.8947368421052628</v>
      </c>
      <c r="B37" s="24">
        <v>13</v>
      </c>
      <c r="C37" s="24">
        <v>444</v>
      </c>
      <c r="D37" s="24">
        <v>151</v>
      </c>
      <c r="E37" s="24">
        <v>150</v>
      </c>
      <c r="F37" s="25">
        <f t="shared" si="10"/>
        <v>0.97639642281190431</v>
      </c>
      <c r="G37" s="25">
        <f t="shared" si="8"/>
        <v>0.24279129595883805</v>
      </c>
      <c r="H37" s="25">
        <f t="shared" si="2"/>
        <v>0.18371246142038308</v>
      </c>
      <c r="I37" s="25">
        <f t="shared" si="16"/>
        <v>0.9432115929629431</v>
      </c>
      <c r="J37" s="25">
        <f t="shared" si="16"/>
        <v>0.99471195024764458</v>
      </c>
      <c r="K37" s="25">
        <f t="shared" si="16"/>
        <v>0.99727741535964809</v>
      </c>
      <c r="L37" s="25">
        <f t="shared" si="17"/>
        <v>0.81114206128133692</v>
      </c>
      <c r="M37" s="25">
        <f t="shared" si="17"/>
        <v>0.96354378818737274</v>
      </c>
      <c r="N37" s="25">
        <f t="shared" si="17"/>
        <v>0.97548867514737836</v>
      </c>
      <c r="O37">
        <f t="shared" si="4"/>
        <v>1028.0953074167155</v>
      </c>
      <c r="P37">
        <f t="shared" si="5"/>
        <v>121.75011406546754</v>
      </c>
      <c r="Q37">
        <f t="shared" si="6"/>
        <v>69.350198054686587</v>
      </c>
      <c r="R37">
        <f t="shared" si="15"/>
        <v>2.3155299716592692</v>
      </c>
      <c r="S37">
        <f t="shared" si="12"/>
        <v>0.80629214612892408</v>
      </c>
      <c r="T37">
        <f t="shared" si="7"/>
        <v>0.4623346536979106</v>
      </c>
      <c r="V37">
        <f>'Planungstool Heizlast'!$B$22*'Temperaturstunden profile'!C37*A37/$A$26</f>
        <v>900.68555807875111</v>
      </c>
      <c r="W37">
        <f>'Planungstool Heizlast'!$B$22*'Temperaturstunden profile'!D37*A37/$A$14</f>
        <v>164.93843293299378</v>
      </c>
      <c r="X37">
        <f>'Planungstool Heizlast'!$B$22*'Temperaturstunden profile'!E37*A37/$A$2</f>
        <v>112.10524371534953</v>
      </c>
    </row>
    <row r="38" spans="1:24" x14ac:dyDescent="0.25">
      <c r="A38" s="1">
        <f t="shared" si="1"/>
        <v>5.2631578947368425</v>
      </c>
      <c r="B38" s="24">
        <v>14</v>
      </c>
      <c r="C38" s="24">
        <v>384</v>
      </c>
      <c r="D38" s="24">
        <v>105</v>
      </c>
      <c r="E38" s="24">
        <v>97</v>
      </c>
      <c r="F38" s="25">
        <f t="shared" si="10"/>
        <v>0.56296730684650353</v>
      </c>
      <c r="G38" s="25">
        <f t="shared" si="8"/>
        <v>0.11255225640475935</v>
      </c>
      <c r="H38" s="25">
        <f t="shared" si="2"/>
        <v>7.9200483367898492E-2</v>
      </c>
      <c r="I38" s="25">
        <f t="shared" si="16"/>
        <v>0.98427891556601244</v>
      </c>
      <c r="J38" s="25">
        <f t="shared" si="16"/>
        <v>0.99862212788142857</v>
      </c>
      <c r="K38" s="25">
        <f t="shared" si="16"/>
        <v>0.99934871504681777</v>
      </c>
      <c r="L38" s="25">
        <f t="shared" si="17"/>
        <v>0.91810584958217256</v>
      </c>
      <c r="M38" s="25">
        <f t="shared" si="17"/>
        <v>0.98492871690427697</v>
      </c>
      <c r="N38" s="25">
        <f t="shared" si="17"/>
        <v>0.9905367669872791</v>
      </c>
      <c r="O38">
        <f t="shared" si="4"/>
        <v>592.77567274477303</v>
      </c>
      <c r="P38">
        <f t="shared" si="5"/>
        <v>56.440450229024691</v>
      </c>
      <c r="Q38">
        <f t="shared" si="6"/>
        <v>29.897640939131552</v>
      </c>
      <c r="R38">
        <f t="shared" si="15"/>
        <v>1.5436866477728464</v>
      </c>
      <c r="S38">
        <f t="shared" si="12"/>
        <v>0.53752809741928276</v>
      </c>
      <c r="T38">
        <f t="shared" si="7"/>
        <v>0.30822310246527374</v>
      </c>
      <c r="V38">
        <f>'Planungstool Heizlast'!$B$22*'Temperaturstunden profile'!C38*A38/$A$26</f>
        <v>519.31419564900966</v>
      </c>
      <c r="W38">
        <f>'Planungstool Heizlast'!$B$22*'Temperaturstunden profile'!D38*A38/$A$14</f>
        <v>76.461525200725603</v>
      </c>
      <c r="X38">
        <f>'Planungstool Heizlast'!$B$22*'Temperaturstunden profile'!E38*A38/$A$2</f>
        <v>48.329816179506253</v>
      </c>
    </row>
    <row r="39" spans="1:24" x14ac:dyDescent="0.25">
      <c r="A39" s="1">
        <f t="shared" si="1"/>
        <v>2.6315789473684212</v>
      </c>
      <c r="B39" s="24">
        <v>15</v>
      </c>
      <c r="C39" s="24">
        <v>294</v>
      </c>
      <c r="D39" s="24">
        <v>74</v>
      </c>
      <c r="E39" s="24">
        <v>61</v>
      </c>
      <c r="F39" s="25">
        <f t="shared" si="10"/>
        <v>0.21551092215217713</v>
      </c>
      <c r="G39" s="25">
        <f t="shared" si="8"/>
        <v>3.966127130453425E-2</v>
      </c>
      <c r="H39" s="25">
        <f t="shared" si="2"/>
        <v>2.4903244770318602E-2</v>
      </c>
      <c r="I39" s="25">
        <f t="shared" si="16"/>
        <v>0.99999999999999989</v>
      </c>
      <c r="J39" s="25">
        <f t="shared" si="16"/>
        <v>1</v>
      </c>
      <c r="K39" s="25">
        <f t="shared" si="16"/>
        <v>1</v>
      </c>
      <c r="L39" s="25">
        <f t="shared" si="17"/>
        <v>0.99999999999999989</v>
      </c>
      <c r="M39" s="25">
        <f t="shared" si="17"/>
        <v>1</v>
      </c>
      <c r="N39" s="25">
        <f t="shared" si="17"/>
        <v>1.0000000000000002</v>
      </c>
      <c r="O39">
        <f t="shared" si="4"/>
        <v>226.92193722260842</v>
      </c>
      <c r="P39">
        <f t="shared" si="5"/>
        <v>19.888539604513465</v>
      </c>
      <c r="Q39">
        <f t="shared" si="6"/>
        <v>9.4008046251908493</v>
      </c>
      <c r="R39">
        <f t="shared" si="15"/>
        <v>0.77184332388642318</v>
      </c>
      <c r="S39">
        <f t="shared" si="12"/>
        <v>0.26876404870964143</v>
      </c>
      <c r="T39">
        <f t="shared" si="7"/>
        <v>0.15411155123263687</v>
      </c>
      <c r="V39">
        <f>'Planungstool Heizlast'!$B$22*'Temperaturstunden profile'!C39*A39/$A$26</f>
        <v>198.79996552188655</v>
      </c>
      <c r="W39">
        <f>'Planungstool Heizlast'!$B$22*'Temperaturstunden profile'!D39*A39/$A$14</f>
        <v>26.943585070731874</v>
      </c>
      <c r="X39">
        <f>'Planungstool Heizlast'!$B$22*'Temperaturstunden profile'!E39*A39/$A$2</f>
        <v>15.196488592525162</v>
      </c>
    </row>
    <row r="40" spans="1:24" x14ac:dyDescent="0.25">
      <c r="C40" s="24">
        <f t="shared" ref="C40:G40" si="18">SUM(C2:C39)</f>
        <v>3590</v>
      </c>
      <c r="D40" s="24">
        <f t="shared" si="18"/>
        <v>4910</v>
      </c>
      <c r="E40" s="24">
        <f t="shared" si="18"/>
        <v>6446</v>
      </c>
      <c r="F40" s="24">
        <f t="shared" si="18"/>
        <v>13.708400527781851</v>
      </c>
      <c r="G40" s="24">
        <f t="shared" si="18"/>
        <v>28.7844356308286</v>
      </c>
      <c r="H40" s="24">
        <f>SUM(H2:H39)</f>
        <v>38.237095220210001</v>
      </c>
      <c r="O40">
        <f>SUM(O2:O39)</f>
        <v>14434.241999999998</v>
      </c>
      <c r="P40">
        <f t="shared" ref="P40:Q40" si="19">SUM(P2:P39)</f>
        <v>14434.242000000002</v>
      </c>
      <c r="Q40">
        <f t="shared" si="19"/>
        <v>14434.242</v>
      </c>
      <c r="R40">
        <f>MAX(R2:R39)</f>
        <v>10.805806534409925</v>
      </c>
      <c r="S40">
        <f>MAX(S2:S39)</f>
        <v>6.987865266450676</v>
      </c>
      <c r="T40">
        <f>MAX(T2:T39)</f>
        <v>5.8562389468402012</v>
      </c>
      <c r="V40">
        <f>SUM(V2:V39)</f>
        <v>12645.435902125166</v>
      </c>
      <c r="W40">
        <f t="shared" ref="W40:X40" si="20">SUM(W2:W39)</f>
        <v>19554.488916334136</v>
      </c>
      <c r="X40">
        <f t="shared" si="20"/>
        <v>23333.087181385228</v>
      </c>
    </row>
    <row r="43" spans="1:24" x14ac:dyDescent="0.25">
      <c r="K43" t="s">
        <v>92</v>
      </c>
      <c r="W43" t="s">
        <v>94</v>
      </c>
    </row>
    <row r="44" spans="1:24" x14ac:dyDescent="0.25">
      <c r="J44" s="24">
        <f>B2</f>
        <v>-22</v>
      </c>
      <c r="K44">
        <f>T2</f>
        <v>5.8562389468402012</v>
      </c>
      <c r="V44" s="24">
        <f>B2</f>
        <v>-22</v>
      </c>
      <c r="W44">
        <f>X40</f>
        <v>23333.087181385228</v>
      </c>
    </row>
    <row r="45" spans="1:24" x14ac:dyDescent="0.25">
      <c r="J45" s="24">
        <f>B14</f>
        <v>-10</v>
      </c>
      <c r="K45">
        <f>S14</f>
        <v>6.987865266450676</v>
      </c>
      <c r="V45" s="24">
        <f>B14</f>
        <v>-10</v>
      </c>
      <c r="W45">
        <f>W40</f>
        <v>19554.488916334136</v>
      </c>
    </row>
    <row r="46" spans="1:24" x14ac:dyDescent="0.25">
      <c r="A46" t="s">
        <v>44</v>
      </c>
      <c r="C46">
        <f>IF('Planungstool Heizlast'!B6="Ölverbrauch",'Planungstool Heizlast'!B7*10*0.85,IF('Planungstool Heizlast'!B6="Gasverbrauch",'Planungstool Heizlast'!B7*0.9,IF('Planungstool Heizlast'!B6="Heizlast",O54+C47,IF('Planungstool Heizlast'!B6="spez. Heizlast",O54+C47,0))))</f>
        <v>18000</v>
      </c>
      <c r="D46" t="s">
        <v>45</v>
      </c>
      <c r="J46" s="24">
        <f>B26</f>
        <v>2</v>
      </c>
      <c r="K46">
        <f>R26</f>
        <v>10.805806534409925</v>
      </c>
      <c r="V46" s="24">
        <f>B26</f>
        <v>2</v>
      </c>
      <c r="W46">
        <f>V40</f>
        <v>12645.435902125166</v>
      </c>
    </row>
    <row r="47" spans="1:24" x14ac:dyDescent="0.25">
      <c r="A47" t="s">
        <v>46</v>
      </c>
      <c r="C47" s="24">
        <f>'Planungstool Heizlast'!B55</f>
        <v>3565.7580000000003</v>
      </c>
    </row>
    <row r="48" spans="1:24" x14ac:dyDescent="0.25">
      <c r="A48" t="s">
        <v>47</v>
      </c>
      <c r="C48" s="24">
        <f>C46-C47</f>
        <v>14434.242</v>
      </c>
      <c r="D48" t="s">
        <v>45</v>
      </c>
    </row>
    <row r="49" spans="1:23" x14ac:dyDescent="0.25">
      <c r="E49" s="24">
        <f>SUM(D2:D19)</f>
        <v>168</v>
      </c>
      <c r="F49" s="24">
        <f>SUM(E2:E19)</f>
        <v>1003</v>
      </c>
      <c r="J49" t="s">
        <v>56</v>
      </c>
      <c r="K49" t="s">
        <v>57</v>
      </c>
      <c r="V49" t="s">
        <v>56</v>
      </c>
      <c r="W49" t="s">
        <v>57</v>
      </c>
    </row>
    <row r="50" spans="1:23" x14ac:dyDescent="0.25">
      <c r="A50" t="s">
        <v>53</v>
      </c>
      <c r="C50">
        <f>'Planungstool Heizlast'!B9</f>
        <v>-13</v>
      </c>
      <c r="D50" t="s">
        <v>19</v>
      </c>
      <c r="J50">
        <f>(K45-K44)/(J45-J44)</f>
        <v>9.4302193300872902E-2</v>
      </c>
      <c r="K50">
        <f>K44-J50*J44</f>
        <v>7.9308871994594057</v>
      </c>
      <c r="V50">
        <f>(W45-W44)/(V45-V44)</f>
        <v>-314.88318875425767</v>
      </c>
      <c r="W50">
        <f>W44-V50*V44</f>
        <v>16405.65702879156</v>
      </c>
    </row>
    <row r="51" spans="1:23" x14ac:dyDescent="0.25">
      <c r="A51" t="s">
        <v>54</v>
      </c>
      <c r="C51">
        <f>C50</f>
        <v>-13</v>
      </c>
      <c r="D51" t="s">
        <v>19</v>
      </c>
      <c r="J51">
        <f>(K46-K45)/(J46-J45)</f>
        <v>0.31816177232993742</v>
      </c>
      <c r="K51">
        <f>K46-J51*J46</f>
        <v>10.169482989750049</v>
      </c>
      <c r="V51">
        <f>(W46-W45)/(V46-V45)</f>
        <v>-575.75441785074747</v>
      </c>
      <c r="W51">
        <f>W46-V51*V46</f>
        <v>13796.944737826661</v>
      </c>
    </row>
    <row r="53" spans="1:23" x14ac:dyDescent="0.25">
      <c r="A53" t="s">
        <v>55</v>
      </c>
      <c r="C53">
        <f>IF(C51&lt;J45,J50*C51+K50,J51*C51+K51)</f>
        <v>6.7049586865480579</v>
      </c>
      <c r="D53" t="s">
        <v>4</v>
      </c>
      <c r="M53" t="s">
        <v>93</v>
      </c>
      <c r="O53">
        <f>IF(C51&lt;V45,V50*C51+W50,V51*C51+W51)/C55</f>
        <v>16399.310786077527</v>
      </c>
      <c r="P53" t="s">
        <v>45</v>
      </c>
    </row>
    <row r="54" spans="1:23" x14ac:dyDescent="0.25">
      <c r="A54" t="s">
        <v>52</v>
      </c>
      <c r="C54">
        <f>C53/(C51-16)*(C50-16)*C55</f>
        <v>8.3811983581850722</v>
      </c>
      <c r="D54" t="s">
        <v>4</v>
      </c>
      <c r="M54" t="s">
        <v>94</v>
      </c>
      <c r="O54">
        <f>O53/(C51-16)*(C50-16)</f>
        <v>16399.310786077527</v>
      </c>
      <c r="P54" t="s">
        <v>45</v>
      </c>
    </row>
    <row r="55" spans="1:23" x14ac:dyDescent="0.25">
      <c r="A55" t="s">
        <v>95</v>
      </c>
      <c r="C55">
        <v>1.25</v>
      </c>
    </row>
    <row r="57" spans="1:23" x14ac:dyDescent="0.25">
      <c r="A57" t="s">
        <v>75</v>
      </c>
      <c r="B57">
        <f>IF('Planungstool Heizlast'!B24="monovalent",0,ROUND('Planungstool Heizlast'!B24-'Planungstool Heizlast'!B9,0))</f>
        <v>6</v>
      </c>
      <c r="C57" t="s">
        <v>76</v>
      </c>
    </row>
    <row r="58" spans="1:23" x14ac:dyDescent="0.25">
      <c r="A58" t="s">
        <v>77</v>
      </c>
      <c r="B58">
        <f ca="1">IF(B57=0,0,SUM(OFFSET(D14,,,B57,)))</f>
        <v>168</v>
      </c>
      <c r="C58" t="s">
        <v>74</v>
      </c>
    </row>
    <row r="61" spans="1:23" x14ac:dyDescent="0.25">
      <c r="A61" t="s">
        <v>83</v>
      </c>
      <c r="B61" s="24">
        <f>'Planungstool Heizlast'!B54*0.08/0.85+100</f>
        <v>1794.1176470588236</v>
      </c>
      <c r="E61" s="24"/>
    </row>
    <row r="62" spans="1:23" x14ac:dyDescent="0.25">
      <c r="A62" t="s">
        <v>85</v>
      </c>
      <c r="B62" s="24">
        <f>'Planungstool Heizlast'!B54*0.06/0.9+100</f>
        <v>1300</v>
      </c>
    </row>
    <row r="63" spans="1:23" x14ac:dyDescent="0.25">
      <c r="A63" t="s">
        <v>84</v>
      </c>
      <c r="B63" s="24">
        <f>'Planungstool Heizlast'!B54*0.05/0.85+100</f>
        <v>1158.8235294117646</v>
      </c>
    </row>
  </sheetData>
  <sheetProtection algorithmName="SHA-512" hashValue="IMDW2ejvmNgYKQ1V5gn8D5Q5tWs+y9R1aMcKJsjnq0rdCzqUb9CNQC3/0Mut11VD4Fl+oIWVTciGZfnXXfTAIw==" saltValue="8S/vWJJtUM6t3+v43utjkA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Planungstool Heizlast</vt:lpstr>
      <vt:lpstr>Leistungsdaten</vt:lpstr>
      <vt:lpstr>Temperaturstunden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Florian Entleitner</cp:lastModifiedBy>
  <cp:lastPrinted>2020-12-05T11:08:31Z</cp:lastPrinted>
  <dcterms:created xsi:type="dcterms:W3CDTF">2020-04-23T07:05:12Z</dcterms:created>
  <dcterms:modified xsi:type="dcterms:W3CDTF">2021-07-06T21:11:47Z</dcterms:modified>
</cp:coreProperties>
</file>